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nob/Desktop/"/>
    </mc:Choice>
  </mc:AlternateContent>
  <xr:revisionPtr revIDLastSave="0" documentId="13_ncr:1_{3A921DCC-D9AA-F749-8AC6-188E43D65604}" xr6:coauthVersionLast="47" xr6:coauthVersionMax="47" xr10:uidLastSave="{00000000-0000-0000-0000-000000000000}"/>
  <bookViews>
    <workbookView xWindow="0" yWindow="500" windowWidth="28800" windowHeight="15920" xr2:uid="{00000000-000D-0000-FFFF-FFFF00000000}"/>
  </bookViews>
  <sheets>
    <sheet name="ProductionVolumeEstimation" sheetId="4" r:id="rId1"/>
    <sheet name="Product category allocation" sheetId="3" r:id="rId2"/>
    <sheet name="Reference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9" i="3" l="1"/>
  <c r="D19" i="3"/>
  <c r="E19" i="3"/>
  <c r="F19" i="3"/>
  <c r="G19" i="3"/>
  <c r="H19" i="3"/>
  <c r="I19" i="3"/>
  <c r="J19" i="3"/>
  <c r="L19" i="3"/>
  <c r="R19" i="3"/>
  <c r="R38" i="3" s="1"/>
  <c r="S19" i="3"/>
  <c r="S30" i="3" s="1"/>
  <c r="T19" i="3"/>
  <c r="T36" i="3" s="1"/>
  <c r="U19" i="3"/>
  <c r="U31" i="3" s="1"/>
  <c r="V19" i="3"/>
  <c r="V35" i="3" s="1"/>
  <c r="Q10" i="3"/>
  <c r="P10" i="3" s="1"/>
  <c r="E39" i="3"/>
  <c r="F39" i="3"/>
  <c r="G39" i="3"/>
  <c r="H39" i="3"/>
  <c r="I39" i="3"/>
  <c r="J39" i="3"/>
  <c r="K39" i="3"/>
  <c r="L39" i="3"/>
  <c r="M39" i="3"/>
  <c r="D39" i="3"/>
  <c r="R35" i="3"/>
  <c r="S35" i="3"/>
  <c r="T35" i="3"/>
  <c r="R36" i="3"/>
  <c r="T29" i="3"/>
  <c r="U29" i="3"/>
  <c r="S28" i="3"/>
  <c r="AD25" i="3"/>
  <c r="AC25" i="3"/>
  <c r="AB25" i="3"/>
  <c r="AA25" i="3"/>
  <c r="Z25" i="3"/>
  <c r="M25" i="3"/>
  <c r="U28" i="3" l="1"/>
  <c r="T28" i="3"/>
  <c r="U33" i="3"/>
  <c r="U36" i="3"/>
  <c r="U32" i="3"/>
  <c r="V32" i="3"/>
  <c r="T32" i="3"/>
  <c r="U35" i="3"/>
  <c r="V36" i="3"/>
  <c r="V33" i="3"/>
  <c r="V26" i="3"/>
  <c r="T26" i="3"/>
  <c r="V37" i="3"/>
  <c r="T31" i="3"/>
  <c r="U26" i="3"/>
  <c r="T27" i="3"/>
  <c r="U37" i="3"/>
  <c r="V30" i="3"/>
  <c r="V28" i="3"/>
  <c r="T37" i="3"/>
  <c r="T34" i="3"/>
  <c r="R28" i="3"/>
  <c r="R27" i="3"/>
  <c r="S36" i="3"/>
  <c r="R33" i="3"/>
  <c r="R30" i="3"/>
  <c r="S32" i="3"/>
  <c r="R32" i="3"/>
  <c r="S31" i="3"/>
  <c r="S29" i="3"/>
  <c r="S37" i="3"/>
  <c r="R31" i="3"/>
  <c r="R29" i="3"/>
  <c r="T38" i="3"/>
  <c r="R37" i="3"/>
  <c r="S34" i="3"/>
  <c r="S26" i="3"/>
  <c r="S38" i="3"/>
  <c r="T33" i="3"/>
  <c r="T30" i="3"/>
  <c r="R34" i="3"/>
  <c r="R26" i="3"/>
  <c r="S27" i="3"/>
  <c r="S33" i="3"/>
  <c r="V27" i="3"/>
  <c r="V38" i="3"/>
  <c r="V34" i="3"/>
  <c r="U30" i="3"/>
  <c r="U27" i="3"/>
  <c r="U38" i="3"/>
  <c r="U34" i="3"/>
  <c r="V31" i="3"/>
  <c r="V29" i="3"/>
  <c r="O10" i="3"/>
  <c r="Q17" i="3"/>
  <c r="Q16" i="3"/>
  <c r="Q14" i="3"/>
  <c r="P14" i="3" s="1"/>
  <c r="O14" i="3" s="1"/>
  <c r="Q8" i="3"/>
  <c r="P8" i="3" s="1"/>
  <c r="O8" i="3" s="1"/>
  <c r="N8" i="3" s="1"/>
  <c r="M8" i="3" s="1"/>
  <c r="Q6" i="3"/>
  <c r="Q5" i="3"/>
  <c r="AD10" i="3"/>
  <c r="AD9" i="3" s="1"/>
  <c r="AD19" i="3" s="1"/>
  <c r="AD36" i="3" s="1"/>
  <c r="AC10" i="3"/>
  <c r="AC9" i="3" s="1"/>
  <c r="AC19" i="3" s="1"/>
  <c r="AC31" i="3" s="1"/>
  <c r="AB10" i="3"/>
  <c r="AB9" i="3" s="1"/>
  <c r="AB19" i="3" s="1"/>
  <c r="AB31" i="3" s="1"/>
  <c r="AA10" i="3"/>
  <c r="AA9" i="3" s="1"/>
  <c r="AA19" i="3" s="1"/>
  <c r="AA32" i="3" s="1"/>
  <c r="Z10" i="3"/>
  <c r="Y10" i="3"/>
  <c r="X10" i="3"/>
  <c r="W10" i="3"/>
  <c r="T39" i="3" l="1"/>
  <c r="AD30" i="3"/>
  <c r="AC34" i="3"/>
  <c r="AD27" i="3"/>
  <c r="S39" i="3"/>
  <c r="AD33" i="3"/>
  <c r="AA29" i="3"/>
  <c r="AB35" i="3"/>
  <c r="AC29" i="3"/>
  <c r="AD29" i="3"/>
  <c r="AC26" i="3"/>
  <c r="AD38" i="3"/>
  <c r="AB26" i="3"/>
  <c r="AC36" i="3"/>
  <c r="R39" i="3"/>
  <c r="AB29" i="3"/>
  <c r="AB28" i="3"/>
  <c r="AA37" i="3"/>
  <c r="AA35" i="3"/>
  <c r="AA36" i="3"/>
  <c r="AA27" i="3"/>
  <c r="AA28" i="3"/>
  <c r="P16" i="3"/>
  <c r="O16" i="3" s="1"/>
  <c r="AC30" i="3"/>
  <c r="AA34" i="3"/>
  <c r="AD26" i="3"/>
  <c r="AC37" i="3"/>
  <c r="AA38" i="3"/>
  <c r="AC28" i="3"/>
  <c r="AB34" i="3"/>
  <c r="Y9" i="3"/>
  <c r="AC38" i="3"/>
  <c r="AB33" i="3"/>
  <c r="AD31" i="3"/>
  <c r="AC35" i="3"/>
  <c r="AB38" i="3"/>
  <c r="AA30" i="3"/>
  <c r="AA26" i="3"/>
  <c r="Z9" i="3"/>
  <c r="P17" i="3"/>
  <c r="O17" i="3" s="1"/>
  <c r="AB36" i="3"/>
  <c r="AA31" i="3"/>
  <c r="AB27" i="3"/>
  <c r="AB37" i="3"/>
  <c r="AB30" i="3"/>
  <c r="V39" i="3"/>
  <c r="AB32" i="3"/>
  <c r="AD35" i="3"/>
  <c r="AD32" i="3"/>
  <c r="AD37" i="3"/>
  <c r="AD28" i="3"/>
  <c r="W9" i="3"/>
  <c r="P5" i="3"/>
  <c r="Q19" i="3"/>
  <c r="AD34" i="3"/>
  <c r="X9" i="3"/>
  <c r="AC27" i="3"/>
  <c r="AA33" i="3"/>
  <c r="AC32" i="3"/>
  <c r="AC33" i="3"/>
  <c r="U39" i="3"/>
  <c r="N10" i="3"/>
  <c r="P6" i="3"/>
  <c r="O6" i="3" s="1"/>
  <c r="N6" i="3" s="1"/>
  <c r="AC39" i="3" l="1"/>
  <c r="AB39" i="3"/>
  <c r="AD39" i="3"/>
  <c r="Q34" i="3"/>
  <c r="Q32" i="3"/>
  <c r="Q29" i="3"/>
  <c r="Q33" i="3"/>
  <c r="Q31" i="3"/>
  <c r="Q35" i="3"/>
  <c r="Q38" i="3"/>
  <c r="Q28" i="3"/>
  <c r="Q30" i="3"/>
  <c r="Q26" i="3"/>
  <c r="Q27" i="3"/>
  <c r="Q37" i="3"/>
  <c r="AA39" i="3"/>
  <c r="Y19" i="3"/>
  <c r="Y29" i="3" s="1"/>
  <c r="Q36" i="3"/>
  <c r="Z19" i="3"/>
  <c r="Z29" i="3" s="1"/>
  <c r="O5" i="3"/>
  <c r="P19" i="3"/>
  <c r="P37" i="3" s="1"/>
  <c r="W19" i="3"/>
  <c r="W29" i="3" s="1"/>
  <c r="X19" i="3"/>
  <c r="X29" i="3"/>
  <c r="M10" i="3"/>
  <c r="M19" i="3" s="1"/>
  <c r="W32" i="3" l="1"/>
  <c r="W28" i="3"/>
  <c r="W33" i="3"/>
  <c r="W38" i="3"/>
  <c r="W27" i="3"/>
  <c r="W36" i="3"/>
  <c r="W37" i="3"/>
  <c r="W34" i="3"/>
  <c r="W35" i="3"/>
  <c r="W31" i="3"/>
  <c r="W26" i="3"/>
  <c r="W30" i="3"/>
  <c r="P38" i="3"/>
  <c r="P32" i="3"/>
  <c r="P36" i="3"/>
  <c r="P31" i="3"/>
  <c r="P29" i="3"/>
  <c r="P35" i="3"/>
  <c r="P28" i="3"/>
  <c r="P27" i="3"/>
  <c r="P34" i="3"/>
  <c r="P30" i="3"/>
  <c r="P33" i="3"/>
  <c r="Q39" i="3"/>
  <c r="N5" i="3"/>
  <c r="N19" i="3" s="1"/>
  <c r="N30" i="3" s="1"/>
  <c r="O19" i="3"/>
  <c r="Z36" i="3"/>
  <c r="Z27" i="3"/>
  <c r="Z26" i="3"/>
  <c r="Z33" i="3"/>
  <c r="Z38" i="3"/>
  <c r="Z34" i="3"/>
  <c r="Z35" i="3"/>
  <c r="Z37" i="3"/>
  <c r="Z32" i="3"/>
  <c r="Z31" i="3"/>
  <c r="Z28" i="3"/>
  <c r="Z30" i="3"/>
  <c r="X36" i="3"/>
  <c r="X37" i="3"/>
  <c r="X28" i="3"/>
  <c r="X27" i="3"/>
  <c r="X33" i="3"/>
  <c r="X34" i="3"/>
  <c r="X38" i="3"/>
  <c r="X31" i="3"/>
  <c r="X35" i="3"/>
  <c r="X32" i="3"/>
  <c r="X26" i="3"/>
  <c r="X30" i="3"/>
  <c r="Y33" i="3"/>
  <c r="Y34" i="3"/>
  <c r="Y38" i="3"/>
  <c r="Y35" i="3"/>
  <c r="Y37" i="3"/>
  <c r="Y27" i="3"/>
  <c r="Y26" i="3"/>
  <c r="Y31" i="3"/>
  <c r="Y32" i="3"/>
  <c r="Y36" i="3"/>
  <c r="Y28" i="3"/>
  <c r="Y30" i="3"/>
  <c r="P26" i="3"/>
  <c r="N34" i="3"/>
  <c r="N28" i="3"/>
  <c r="N35" i="3"/>
  <c r="N29" i="3"/>
  <c r="N36" i="3"/>
  <c r="N37" i="3"/>
  <c r="N33" i="3"/>
  <c r="N38" i="3"/>
  <c r="N26" i="3"/>
  <c r="N31" i="3"/>
  <c r="N27" i="3"/>
  <c r="N32" i="3" l="1"/>
  <c r="P39" i="3"/>
  <c r="Y39" i="3"/>
  <c r="W39" i="3"/>
  <c r="Z39" i="3"/>
  <c r="O30" i="3"/>
  <c r="O32" i="3"/>
  <c r="O36" i="3"/>
  <c r="O28" i="3"/>
  <c r="O37" i="3"/>
  <c r="O26" i="3"/>
  <c r="O27" i="3"/>
  <c r="O35" i="3"/>
  <c r="O31" i="3"/>
  <c r="O33" i="3"/>
  <c r="O34" i="3"/>
  <c r="O29" i="3"/>
  <c r="O38" i="3"/>
  <c r="X39" i="3"/>
  <c r="N39" i="3"/>
  <c r="O39" i="3" l="1"/>
  <c r="M25" i="4" l="1"/>
  <c r="M26" i="4" s="1"/>
  <c r="M27" i="4" s="1"/>
  <c r="M28" i="4" s="1"/>
  <c r="M29" i="4" s="1"/>
  <c r="M13" i="4"/>
  <c r="M12" i="4" s="1"/>
  <c r="M11" i="4" s="1"/>
  <c r="M10" i="4" s="1"/>
  <c r="M9" i="4" s="1"/>
  <c r="M8" i="4" s="1"/>
  <c r="M7" i="4" s="1"/>
  <c r="M6" i="4" s="1"/>
  <c r="M5" i="4" s="1"/>
  <c r="M4" i="4" s="1"/>
  <c r="M3" i="4" s="1"/>
  <c r="N3" i="4" s="1"/>
  <c r="K29" i="4"/>
  <c r="J29" i="4"/>
  <c r="I29" i="4"/>
  <c r="K28" i="4"/>
  <c r="J28" i="4"/>
  <c r="I28" i="4"/>
  <c r="K27" i="4"/>
  <c r="J27" i="4"/>
  <c r="I27" i="4"/>
  <c r="K26" i="4"/>
  <c r="J26" i="4"/>
  <c r="I26" i="4"/>
  <c r="K25" i="4"/>
  <c r="J25" i="4"/>
  <c r="I25" i="4"/>
  <c r="K24" i="4"/>
  <c r="P24" i="4" s="1"/>
  <c r="J24" i="4"/>
  <c r="O24" i="4" s="1"/>
  <c r="I24" i="4"/>
  <c r="N24" i="4" s="1"/>
  <c r="K23" i="4"/>
  <c r="P23" i="4" s="1"/>
  <c r="J23" i="4"/>
  <c r="O23" i="4" s="1"/>
  <c r="I23" i="4"/>
  <c r="N23" i="4" s="1"/>
  <c r="K22" i="4"/>
  <c r="P22" i="4" s="1"/>
  <c r="J22" i="4"/>
  <c r="O22" i="4" s="1"/>
  <c r="I22" i="4"/>
  <c r="N22" i="4" s="1"/>
  <c r="K21" i="4"/>
  <c r="P21" i="4" s="1"/>
  <c r="J21" i="4"/>
  <c r="O21" i="4" s="1"/>
  <c r="I21" i="4"/>
  <c r="N21" i="4" s="1"/>
  <c r="K20" i="4"/>
  <c r="P20" i="4" s="1"/>
  <c r="J20" i="4"/>
  <c r="O20" i="4" s="1"/>
  <c r="I20" i="4"/>
  <c r="N20" i="4" s="1"/>
  <c r="K19" i="4"/>
  <c r="P19" i="4" s="1"/>
  <c r="J19" i="4"/>
  <c r="O19" i="4" s="1"/>
  <c r="I19" i="4"/>
  <c r="N19" i="4" s="1"/>
  <c r="K18" i="4"/>
  <c r="P18" i="4" s="1"/>
  <c r="J18" i="4"/>
  <c r="O18" i="4" s="1"/>
  <c r="I18" i="4"/>
  <c r="N18" i="4" s="1"/>
  <c r="K17" i="4"/>
  <c r="K13" i="4" s="1"/>
  <c r="J17" i="4"/>
  <c r="J16" i="4" s="1"/>
  <c r="O16" i="4" s="1"/>
  <c r="I17" i="4"/>
  <c r="I11" i="4" s="1"/>
  <c r="P27" i="4" l="1"/>
  <c r="N25" i="4"/>
  <c r="O27" i="4"/>
  <c r="O25" i="4"/>
  <c r="N28" i="4"/>
  <c r="O3" i="4"/>
  <c r="P13" i="4"/>
  <c r="P25" i="4"/>
  <c r="O28" i="4"/>
  <c r="P3" i="4"/>
  <c r="N26" i="4"/>
  <c r="P28" i="4"/>
  <c r="N17" i="4"/>
  <c r="O26" i="4"/>
  <c r="N29" i="4"/>
  <c r="N11" i="4"/>
  <c r="P26" i="4"/>
  <c r="O29" i="4"/>
  <c r="O17" i="4"/>
  <c r="P29" i="4"/>
  <c r="P17" i="4"/>
  <c r="N27" i="4"/>
  <c r="J6" i="4"/>
  <c r="O6" i="4" s="1"/>
  <c r="J9" i="4"/>
  <c r="O9" i="4" s="1"/>
  <c r="J11" i="4"/>
  <c r="O11" i="4" s="1"/>
  <c r="I6" i="4"/>
  <c r="N6" i="4" s="1"/>
  <c r="K11" i="4"/>
  <c r="P11" i="4" s="1"/>
  <c r="K6" i="4"/>
  <c r="P6" i="4" s="1"/>
  <c r="K14" i="4"/>
  <c r="P14" i="4" s="1"/>
  <c r="I14" i="4"/>
  <c r="N14" i="4" s="1"/>
  <c r="J14" i="4"/>
  <c r="O14" i="4" s="1"/>
  <c r="K8" i="4"/>
  <c r="P8" i="4" s="1"/>
  <c r="I9" i="4"/>
  <c r="N9" i="4" s="1"/>
  <c r="K16" i="4"/>
  <c r="P16" i="4" s="1"/>
  <c r="K9" i="4"/>
  <c r="P9" i="4" s="1"/>
  <c r="I4" i="4"/>
  <c r="N4" i="4" s="1"/>
  <c r="J12" i="4"/>
  <c r="O12" i="4" s="1"/>
  <c r="K4" i="4"/>
  <c r="P4" i="4" s="1"/>
  <c r="J7" i="4"/>
  <c r="O7" i="4" s="1"/>
  <c r="I10" i="4"/>
  <c r="N10" i="4" s="1"/>
  <c r="K12" i="4"/>
  <c r="P12" i="4" s="1"/>
  <c r="J15" i="4"/>
  <c r="O15" i="4" s="1"/>
  <c r="I12" i="4"/>
  <c r="N12" i="4" s="1"/>
  <c r="J4" i="4"/>
  <c r="O4" i="4" s="1"/>
  <c r="I15" i="4"/>
  <c r="N15" i="4" s="1"/>
  <c r="I5" i="4"/>
  <c r="N5" i="4" s="1"/>
  <c r="K7" i="4"/>
  <c r="P7" i="4" s="1"/>
  <c r="J10" i="4"/>
  <c r="O10" i="4" s="1"/>
  <c r="I13" i="4"/>
  <c r="N13" i="4" s="1"/>
  <c r="K15" i="4"/>
  <c r="P15" i="4" s="1"/>
  <c r="J5" i="4"/>
  <c r="O5" i="4" s="1"/>
  <c r="I8" i="4"/>
  <c r="N8" i="4" s="1"/>
  <c r="K10" i="4"/>
  <c r="P10" i="4" s="1"/>
  <c r="J13" i="4"/>
  <c r="O13" i="4" s="1"/>
  <c r="I16" i="4"/>
  <c r="N16" i="4" s="1"/>
  <c r="I7" i="4"/>
  <c r="N7" i="4" s="1"/>
  <c r="K5" i="4"/>
  <c r="P5" i="4" s="1"/>
  <c r="J8" i="4"/>
  <c r="O8" i="4" s="1"/>
</calcChain>
</file>

<file path=xl/sharedStrings.xml><?xml version="1.0" encoding="utf-8"?>
<sst xmlns="http://schemas.openxmlformats.org/spreadsheetml/2006/main" count="83" uniqueCount="57">
  <si>
    <t>Max</t>
  </si>
  <si>
    <t>Min</t>
  </si>
  <si>
    <t>batteries</t>
  </si>
  <si>
    <t>electronics</t>
  </si>
  <si>
    <t>automotive</t>
  </si>
  <si>
    <t>construction</t>
  </si>
  <si>
    <t>medical</t>
  </si>
  <si>
    <t>aerospace</t>
  </si>
  <si>
    <t>filtration</t>
  </si>
  <si>
    <t>drilling</t>
  </si>
  <si>
    <t>Mean</t>
  </si>
  <si>
    <t>Estimated global graphene production volume</t>
  </si>
  <si>
    <t>Demand of Europe (%)</t>
  </si>
  <si>
    <t>Lower boundary</t>
  </si>
  <si>
    <t>Average</t>
  </si>
  <si>
    <t>Upper boundary</t>
  </si>
  <si>
    <t>1. 2018 is the reference year</t>
  </si>
  <si>
    <t>2. from 2018to 2030: min and max value from given data</t>
  </si>
  <si>
    <t>3. production volume of graphene is set to 0 in 2004</t>
  </si>
  <si>
    <t>4. average from 2004 to 2017: the slope of yearly increase of production reflects the slope of yearly increase of patent</t>
  </si>
  <si>
    <t>5. For the year 2004-2017, the growth rate for lower and upper boundary and average were assumed to reflect the growth rate of accumulated amount of patent</t>
  </si>
  <si>
    <t>6. The Europenan volume was scaled from the global volume. When share of Europe is not known for a year, the share of the nearest year was used as a reference</t>
  </si>
  <si>
    <t>Döscher et al., 2018</t>
  </si>
  <si>
    <t>Estimate</t>
  </si>
  <si>
    <t>Yang et al., 2018</t>
  </si>
  <si>
    <t>Patent information (accumulated)</t>
  </si>
  <si>
    <t>Future Markets</t>
  </si>
  <si>
    <t>Future Markets. THE GRAPHENE REPORT 2020 Markets, applications, production, products and producers. (2020).</t>
  </si>
  <si>
    <t>Yang, X., Yu, X. &amp; Liu, X. Obtaining a Sustainable Competitive Advantage from Patent Information: A Patent Analysis of the Graphene Industry. Sustain. 2018, Vol. 10, Page 4800 10, 4800 (2018).</t>
  </si>
  <si>
    <t>Döscher, H. et al. Graphene and other 2D materials Technology and Innovation Roadmap Version 3. (2018).</t>
  </si>
  <si>
    <t>Reference year 2018</t>
  </si>
  <si>
    <t>Projected production volume of Graphene in year</t>
  </si>
  <si>
    <t>Estimated graphene production volume in Europe</t>
  </si>
  <si>
    <t>Product category</t>
  </si>
  <si>
    <t>Control sum (to verify)</t>
  </si>
  <si>
    <t>R&amp;D</t>
  </si>
  <si>
    <t>composite (sporting goods)</t>
  </si>
  <si>
    <t>paintings / coatings</t>
  </si>
  <si>
    <t>tire</t>
  </si>
  <si>
    <t>textiles</t>
  </si>
  <si>
    <t>References:</t>
  </si>
  <si>
    <t>Assumptions:</t>
  </si>
  <si>
    <t>composite (wind turbine blades)</t>
  </si>
  <si>
    <t>composite total</t>
  </si>
  <si>
    <t xml:space="preserve"> - composite (wind turbine blades)*</t>
  </si>
  <si>
    <t xml:space="preserve"> - composite (sporting goods)*</t>
  </si>
  <si>
    <t>Note that the final product categories used for the model is shown in black and bold.</t>
  </si>
  <si>
    <t>: original values from Future Markets' report</t>
  </si>
  <si>
    <t>: values estimated based on expert's opinion</t>
  </si>
  <si>
    <t>Years that the data is available from the Future Markets' report</t>
  </si>
  <si>
    <t>: original values from Graphene Flagship's report</t>
  </si>
  <si>
    <t>: shares estimated combining Graphene Flagship's report and Future Markets' report</t>
  </si>
  <si>
    <t>2. Share estimations for each product category (based on Future Markets' report) and the shares of R&amp;D (based on the Graphene Flagship’s report(Döscher et al., 2018))</t>
  </si>
  <si>
    <t>1. Volume estimations for each product category based on Future Markets' report (Future Markets)</t>
  </si>
  <si>
    <t>Figure 1. Comparison of GBM produciton volume in EU</t>
  </si>
  <si>
    <t>Figure 2. Comparison of GBM produciton volume in EU in logarithmic scale</t>
  </si>
  <si>
    <t>Note that the range of data from 'Graphene Flagship (legend: red)' completely overlaps with 'Estimation (legend: green)'. Therefore, 'Graphene Flagship' is shown in brown in the plot.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</si>
</sst>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sz val="12"/>
      <color theme="0" tint="-0.499984740745262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2" tint="-0.249977111117893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9D08E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2" fontId="0" fillId="0" borderId="1" xfId="0" applyNumberFormat="1" applyBorder="1"/>
    <xf numFmtId="0" fontId="1" fillId="0" borderId="0" xfId="0" applyFont="1"/>
    <xf numFmtId="0" fontId="2" fillId="0" borderId="0" xfId="0" applyFont="1"/>
    <xf numFmtId="0" fontId="2" fillId="0" borderId="7" xfId="0" applyFont="1" applyBorder="1"/>
    <xf numFmtId="0" fontId="0" fillId="0" borderId="10" xfId="0" applyBorder="1"/>
    <xf numFmtId="0" fontId="2" fillId="0" borderId="10" xfId="0" applyFont="1" applyBorder="1"/>
    <xf numFmtId="0" fontId="0" fillId="0" borderId="11" xfId="0" applyBorder="1"/>
    <xf numFmtId="0" fontId="0" fillId="0" borderId="9" xfId="0" applyBorder="1"/>
    <xf numFmtId="2" fontId="2" fillId="0" borderId="10" xfId="0" applyNumberFormat="1" applyFont="1" applyBorder="1"/>
    <xf numFmtId="2" fontId="2" fillId="0" borderId="7" xfId="0" applyNumberFormat="1" applyFont="1" applyBorder="1"/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2" fontId="0" fillId="0" borderId="0" xfId="0" applyNumberFormat="1"/>
    <xf numFmtId="2" fontId="4" fillId="0" borderId="11" xfId="0" applyNumberFormat="1" applyFont="1" applyBorder="1"/>
    <xf numFmtId="2" fontId="4" fillId="0" borderId="0" xfId="0" applyNumberFormat="1" applyFont="1"/>
    <xf numFmtId="2" fontId="4" fillId="0" borderId="2" xfId="0" applyNumberFormat="1" applyFont="1" applyBorder="1"/>
    <xf numFmtId="2" fontId="4" fillId="0" borderId="9" xfId="0" applyNumberFormat="1" applyFont="1" applyBorder="1"/>
    <xf numFmtId="2" fontId="4" fillId="0" borderId="1" xfId="0" applyNumberFormat="1" applyFont="1" applyBorder="1"/>
    <xf numFmtId="2" fontId="4" fillId="0" borderId="8" xfId="0" applyNumberFormat="1" applyFont="1" applyBorder="1"/>
    <xf numFmtId="2" fontId="0" fillId="0" borderId="11" xfId="0" applyNumberForma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0" xfId="0" applyFont="1" applyBorder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0" borderId="0" xfId="0" applyBorder="1"/>
    <xf numFmtId="0" fontId="3" fillId="0" borderId="10" xfId="0" applyFont="1" applyFill="1" applyBorder="1" applyAlignment="1">
      <alignment horizontal="right"/>
    </xf>
    <xf numFmtId="0" fontId="1" fillId="4" borderId="1" xfId="0" applyFont="1" applyFill="1" applyBorder="1"/>
    <xf numFmtId="0" fontId="0" fillId="4" borderId="1" xfId="0" applyFill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1" fillId="0" borderId="1" xfId="0" applyFont="1" applyBorder="1"/>
    <xf numFmtId="0" fontId="5" fillId="0" borderId="0" xfId="0" applyFont="1"/>
    <xf numFmtId="2" fontId="1" fillId="0" borderId="0" xfId="0" applyNumberFormat="1" applyFont="1"/>
    <xf numFmtId="0" fontId="1" fillId="0" borderId="10" xfId="0" applyFont="1" applyBorder="1"/>
    <xf numFmtId="2" fontId="6" fillId="0" borderId="11" xfId="0" applyNumberFormat="1" applyFont="1" applyBorder="1"/>
    <xf numFmtId="2" fontId="6" fillId="0" borderId="0" xfId="0" applyNumberFormat="1" applyFont="1"/>
    <xf numFmtId="2" fontId="6" fillId="0" borderId="2" xfId="0" applyNumberFormat="1" applyFont="1" applyBorder="1"/>
    <xf numFmtId="2" fontId="1" fillId="0" borderId="11" xfId="0" applyNumberFormat="1" applyFont="1" applyBorder="1"/>
    <xf numFmtId="0" fontId="3" fillId="0" borderId="0" xfId="0" applyFont="1"/>
    <xf numFmtId="0" fontId="3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1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8" xfId="0" applyFont="1" applyBorder="1"/>
    <xf numFmtId="0" fontId="8" fillId="0" borderId="0" xfId="0" applyFont="1" applyAlignment="1">
      <alignment horizontal="center" wrapText="1"/>
    </xf>
    <xf numFmtId="0" fontId="10" fillId="0" borderId="0" xfId="0" applyFont="1"/>
    <xf numFmtId="2" fontId="11" fillId="5" borderId="17" xfId="0" applyNumberFormat="1" applyFont="1" applyFill="1" applyBorder="1"/>
    <xf numFmtId="2" fontId="11" fillId="5" borderId="1" xfId="0" applyNumberFormat="1" applyFont="1" applyFill="1" applyBorder="1"/>
    <xf numFmtId="0" fontId="0" fillId="0" borderId="0" xfId="0" applyFill="1"/>
    <xf numFmtId="0" fontId="0" fillId="0" borderId="1" xfId="0" applyFont="1" applyFill="1" applyBorder="1"/>
    <xf numFmtId="0" fontId="1" fillId="4" borderId="0" xfId="0" applyFont="1" applyFill="1" applyBorder="1"/>
    <xf numFmtId="0" fontId="9" fillId="0" borderId="21" xfId="0" applyFont="1" applyBorder="1" applyAlignment="1">
      <alignment horizontal="left"/>
    </xf>
    <xf numFmtId="0" fontId="5" fillId="0" borderId="0" xfId="0" applyFont="1" applyBorder="1"/>
    <xf numFmtId="0" fontId="9" fillId="0" borderId="0" xfId="0" applyFont="1" applyBorder="1" applyAlignment="1">
      <alignment horizontal="left"/>
    </xf>
    <xf numFmtId="0" fontId="0" fillId="0" borderId="21" xfId="0" applyBorder="1"/>
    <xf numFmtId="0" fontId="1" fillId="4" borderId="22" xfId="0" applyFont="1" applyFill="1" applyBorder="1"/>
    <xf numFmtId="2" fontId="0" fillId="0" borderId="0" xfId="0" applyNumberFormat="1" applyBorder="1"/>
    <xf numFmtId="2" fontId="0" fillId="6" borderId="0" xfId="0" applyNumberFormat="1" applyFill="1" applyBorder="1"/>
    <xf numFmtId="2" fontId="11" fillId="5" borderId="0" xfId="0" applyNumberFormat="1" applyFont="1" applyFill="1" applyBorder="1"/>
    <xf numFmtId="2" fontId="11" fillId="5" borderId="23" xfId="0" applyNumberFormat="1" applyFont="1" applyFill="1" applyBorder="1"/>
    <xf numFmtId="0" fontId="10" fillId="0" borderId="21" xfId="0" applyFont="1" applyBorder="1"/>
    <xf numFmtId="0" fontId="10" fillId="0" borderId="0" xfId="0" applyFont="1" applyBorder="1"/>
    <xf numFmtId="2" fontId="10" fillId="0" borderId="0" xfId="0" applyNumberFormat="1" applyFont="1" applyBorder="1"/>
    <xf numFmtId="2" fontId="10" fillId="6" borderId="0" xfId="0" applyNumberFormat="1" applyFont="1" applyFill="1" applyBorder="1"/>
    <xf numFmtId="2" fontId="10" fillId="5" borderId="0" xfId="0" applyNumberFormat="1" applyFont="1" applyFill="1" applyBorder="1"/>
    <xf numFmtId="2" fontId="10" fillId="5" borderId="23" xfId="0" applyNumberFormat="1" applyFont="1" applyFill="1" applyBorder="1"/>
    <xf numFmtId="0" fontId="1" fillId="0" borderId="0" xfId="0" applyFont="1" applyFill="1" applyBorder="1"/>
    <xf numFmtId="2" fontId="0" fillId="6" borderId="23" xfId="0" applyNumberFormat="1" applyFill="1" applyBorder="1"/>
    <xf numFmtId="2" fontId="11" fillId="5" borderId="22" xfId="0" applyNumberFormat="1" applyFont="1" applyFill="1" applyBorder="1"/>
    <xf numFmtId="0" fontId="5" fillId="0" borderId="21" xfId="0" applyFont="1" applyBorder="1"/>
    <xf numFmtId="0" fontId="8" fillId="0" borderId="21" xfId="0" applyFont="1" applyBorder="1" applyAlignment="1">
      <alignment horizontal="center" wrapText="1"/>
    </xf>
    <xf numFmtId="0" fontId="0" fillId="5" borderId="0" xfId="0" applyFill="1" applyBorder="1"/>
    <xf numFmtId="0" fontId="0" fillId="0" borderId="23" xfId="0" applyBorder="1"/>
    <xf numFmtId="0" fontId="8" fillId="0" borderId="24" xfId="0" applyFont="1" applyBorder="1" applyAlignment="1">
      <alignment horizontal="center" wrapText="1"/>
    </xf>
    <xf numFmtId="0" fontId="0" fillId="0" borderId="25" xfId="0" applyBorder="1"/>
    <xf numFmtId="0" fontId="0" fillId="6" borderId="25" xfId="0" applyFill="1" applyBorder="1"/>
    <xf numFmtId="0" fontId="2" fillId="0" borderId="25" xfId="0" applyFont="1" applyBorder="1"/>
    <xf numFmtId="0" fontId="0" fillId="0" borderId="26" xfId="0" applyBorder="1"/>
    <xf numFmtId="0" fontId="0" fillId="4" borderId="22" xfId="0" applyFill="1" applyBorder="1"/>
    <xf numFmtId="164" fontId="0" fillId="6" borderId="0" xfId="0" applyNumberFormat="1" applyFill="1" applyBorder="1"/>
    <xf numFmtId="164" fontId="0" fillId="5" borderId="0" xfId="0" applyNumberFormat="1" applyFill="1" applyBorder="1"/>
    <xf numFmtId="164" fontId="0" fillId="6" borderId="23" xfId="0" applyNumberFormat="1" applyFill="1" applyBorder="1"/>
    <xf numFmtId="165" fontId="5" fillId="0" borderId="0" xfId="0" applyNumberFormat="1" applyFont="1" applyBorder="1"/>
    <xf numFmtId="165" fontId="5" fillId="0" borderId="23" xfId="0" applyNumberFormat="1" applyFont="1" applyBorder="1"/>
    <xf numFmtId="0" fontId="0" fillId="6" borderId="0" xfId="0" applyFill="1" applyBorder="1"/>
    <xf numFmtId="0" fontId="0" fillId="0" borderId="24" xfId="0" applyBorder="1"/>
    <xf numFmtId="0" fontId="0" fillId="7" borderId="25" xfId="0" applyFill="1" applyBorder="1"/>
    <xf numFmtId="164" fontId="0" fillId="7" borderId="0" xfId="0" applyNumberFormat="1" applyFill="1" applyBorder="1"/>
    <xf numFmtId="164" fontId="0" fillId="7" borderId="23" xfId="0" applyNumberFormat="1" applyFill="1" applyBorder="1"/>
    <xf numFmtId="164" fontId="0" fillId="7" borderId="1" xfId="0" applyNumberFormat="1" applyFill="1" applyBorder="1"/>
    <xf numFmtId="0" fontId="7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444500</xdr:colOff>
      <xdr:row>68</xdr:row>
      <xdr:rowOff>139701</xdr:rowOff>
    </xdr:from>
    <xdr:to>
      <xdr:col>6</xdr:col>
      <xdr:colOff>1202866</xdr:colOff>
      <xdr:row>88</xdr:row>
      <xdr:rowOff>127001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3C871D-3526-C11A-B52F-FDC6B4FA4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9500" y="13995401"/>
          <a:ext cx="6587666" cy="4051300"/>
        </a:xfrm>
        <a:prstGeom prst="rect">
          <a:avLst/>
        </a:prstGeom>
      </xdr:spPr>
    </xdr:pic>
    <xdr:clientData/>
  </xdr:twoCellAnchor>
  <xdr:twoCellAnchor editAs="oneCell">
    <xdr:from>
      <xdr:col>1</xdr:col>
      <xdr:colOff>330200</xdr:colOff>
      <xdr:row>41</xdr:row>
      <xdr:rowOff>165100</xdr:rowOff>
    </xdr:from>
    <xdr:to>
      <xdr:col>6</xdr:col>
      <xdr:colOff>1104900</xdr:colOff>
      <xdr:row>61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6AA465-303E-B7CE-5295-A9C31A5BA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35200" y="8496300"/>
          <a:ext cx="6604000" cy="4051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8"/>
  <sheetViews>
    <sheetView showGridLines="0" tabSelected="1" zoomScaleNormal="100" workbookViewId="0">
      <pane xSplit="1" ySplit="2" topLeftCell="B68" activePane="bottomRight" state="frozen"/>
      <selection pane="topRight" activeCell="B1" sqref="B1"/>
      <selection pane="bottomLeft" activeCell="A3" sqref="A3"/>
      <selection pane="bottomRight" activeCell="I65" sqref="I65"/>
    </sheetView>
  </sheetViews>
  <sheetFormatPr baseColWidth="10" defaultColWidth="11" defaultRowHeight="16" x14ac:dyDescent="0.2"/>
  <cols>
    <col min="1" max="1" width="25" customWidth="1"/>
    <col min="2" max="2" width="13.83203125" bestFit="1" customWidth="1"/>
    <col min="3" max="3" width="17.5" bestFit="1" customWidth="1"/>
    <col min="4" max="4" width="13.83203125" bestFit="1" customWidth="1"/>
    <col min="5" max="5" width="17.5" bestFit="1" customWidth="1"/>
    <col min="6" max="6" width="13.83203125" bestFit="1" customWidth="1"/>
    <col min="7" max="7" width="17.6640625" bestFit="1" customWidth="1"/>
    <col min="8" max="8" width="29.5" bestFit="1" customWidth="1"/>
    <col min="9" max="9" width="15.6640625" bestFit="1" customWidth="1"/>
    <col min="10" max="11" width="16.83203125" bestFit="1" customWidth="1"/>
    <col min="12" max="12" width="17.6640625" bestFit="1" customWidth="1"/>
    <col min="13" max="16" width="15.5" customWidth="1"/>
  </cols>
  <sheetData>
    <row r="1" spans="1:17" s="24" customFormat="1" x14ac:dyDescent="0.2">
      <c r="A1" s="99" t="s">
        <v>31</v>
      </c>
      <c r="B1" s="101" t="s">
        <v>1</v>
      </c>
      <c r="C1" s="101"/>
      <c r="D1" s="101" t="s">
        <v>10</v>
      </c>
      <c r="E1" s="101"/>
      <c r="F1" s="101" t="s">
        <v>0</v>
      </c>
      <c r="G1" s="101"/>
      <c r="H1" s="27" t="s">
        <v>25</v>
      </c>
      <c r="I1" s="102" t="s">
        <v>11</v>
      </c>
      <c r="J1" s="103"/>
      <c r="K1" s="103"/>
      <c r="L1" s="105" t="s">
        <v>12</v>
      </c>
      <c r="M1" s="106"/>
      <c r="N1" s="102" t="s">
        <v>32</v>
      </c>
      <c r="O1" s="103"/>
      <c r="P1" s="104"/>
      <c r="Q1" s="23"/>
    </row>
    <row r="2" spans="1:17" s="24" customFormat="1" x14ac:dyDescent="0.2">
      <c r="A2" s="100"/>
      <c r="B2" s="27" t="s">
        <v>26</v>
      </c>
      <c r="C2" s="27" t="s">
        <v>22</v>
      </c>
      <c r="D2" s="28" t="s">
        <v>26</v>
      </c>
      <c r="E2" s="27" t="s">
        <v>22</v>
      </c>
      <c r="F2" s="28" t="s">
        <v>26</v>
      </c>
      <c r="G2" s="27" t="s">
        <v>22</v>
      </c>
      <c r="H2" s="25" t="s">
        <v>24</v>
      </c>
      <c r="I2" s="11" t="s">
        <v>13</v>
      </c>
      <c r="J2" s="11" t="s">
        <v>14</v>
      </c>
      <c r="K2" s="12" t="s">
        <v>15</v>
      </c>
      <c r="L2" s="13" t="s">
        <v>22</v>
      </c>
      <c r="M2" s="27" t="s">
        <v>23</v>
      </c>
      <c r="N2" s="14" t="s">
        <v>13</v>
      </c>
      <c r="O2" s="11" t="s">
        <v>14</v>
      </c>
      <c r="P2" s="12" t="s">
        <v>15</v>
      </c>
      <c r="Q2" s="23"/>
    </row>
    <row r="3" spans="1:17" x14ac:dyDescent="0.2">
      <c r="A3" s="6">
        <v>2004</v>
      </c>
      <c r="B3" s="15"/>
      <c r="C3" s="15"/>
      <c r="D3" s="15"/>
      <c r="E3" s="15"/>
      <c r="F3" s="15"/>
      <c r="G3" s="15"/>
      <c r="H3" s="5">
        <v>45</v>
      </c>
      <c r="I3" s="16">
        <v>0</v>
      </c>
      <c r="J3" s="17">
        <v>0</v>
      </c>
      <c r="K3" s="18">
        <v>0</v>
      </c>
      <c r="L3" s="22"/>
      <c r="M3" s="18">
        <f t="shared" ref="M3:M12" si="0">M4</f>
        <v>36.390532544378601</v>
      </c>
      <c r="N3" s="16">
        <f t="shared" ref="N3:N29" si="1">I3*M3/100</f>
        <v>0</v>
      </c>
      <c r="O3" s="17">
        <f t="shared" ref="O3:O29" si="2">J3*M3/100</f>
        <v>0</v>
      </c>
      <c r="P3" s="18">
        <f t="shared" ref="P3:P29" si="3">K3*M3/100</f>
        <v>0</v>
      </c>
      <c r="Q3" s="3"/>
    </row>
    <row r="4" spans="1:17" x14ac:dyDescent="0.2">
      <c r="A4" s="6">
        <v>2005</v>
      </c>
      <c r="B4" s="15"/>
      <c r="C4" s="15"/>
      <c r="D4" s="15"/>
      <c r="E4" s="15"/>
      <c r="F4" s="15"/>
      <c r="G4" s="15"/>
      <c r="H4" s="5">
        <v>104</v>
      </c>
      <c r="I4" s="16">
        <f t="shared" ref="I4:I14" si="4">$I$17*H3/$H$17</f>
        <v>1.3426896758320237E-2</v>
      </c>
      <c r="J4" s="17">
        <f t="shared" ref="J4:J16" si="5">$J$17*H3/$H$17</f>
        <v>0.16813347602361792</v>
      </c>
      <c r="K4" s="18">
        <f t="shared" ref="K4:K15" si="6">$K$17*H3/$H$17</f>
        <v>0.65357457394045204</v>
      </c>
      <c r="L4" s="22"/>
      <c r="M4" s="18">
        <f t="shared" si="0"/>
        <v>36.390532544378601</v>
      </c>
      <c r="N4" s="16">
        <f t="shared" si="1"/>
        <v>4.8861192345366414E-3</v>
      </c>
      <c r="O4" s="17">
        <f t="shared" si="2"/>
        <v>6.1184667310369666E-2</v>
      </c>
      <c r="P4" s="18">
        <f t="shared" si="3"/>
        <v>0.23783926803158398</v>
      </c>
      <c r="Q4" s="3"/>
    </row>
    <row r="5" spans="1:17" x14ac:dyDescent="0.2">
      <c r="A5" s="6">
        <v>2006</v>
      </c>
      <c r="B5" s="15"/>
      <c r="C5" s="15"/>
      <c r="D5" s="15"/>
      <c r="E5" s="15"/>
      <c r="F5" s="15"/>
      <c r="G5" s="15"/>
      <c r="H5" s="5">
        <v>173</v>
      </c>
      <c r="I5" s="16">
        <f t="shared" si="4"/>
        <v>3.1031050285895659E-2</v>
      </c>
      <c r="J5" s="17">
        <f t="shared" si="5"/>
        <v>0.38857514458791692</v>
      </c>
      <c r="K5" s="18">
        <f t="shared" si="6"/>
        <v>1.5104834597734893</v>
      </c>
      <c r="L5" s="22"/>
      <c r="M5" s="18">
        <f t="shared" si="0"/>
        <v>36.390532544378601</v>
      </c>
      <c r="N5" s="16">
        <f t="shared" si="1"/>
        <v>1.1292364453151349E-2</v>
      </c>
      <c r="O5" s="17">
        <f t="shared" si="2"/>
        <v>0.14140456445063213</v>
      </c>
      <c r="P5" s="18">
        <f t="shared" si="3"/>
        <v>0.5496729750063275</v>
      </c>
      <c r="Q5" s="3"/>
    </row>
    <row r="6" spans="1:17" x14ac:dyDescent="0.2">
      <c r="A6" s="6">
        <v>2007</v>
      </c>
      <c r="B6" s="15"/>
      <c r="C6" s="15"/>
      <c r="D6" s="15"/>
      <c r="E6" s="15"/>
      <c r="F6" s="15"/>
      <c r="G6" s="15"/>
      <c r="H6" s="5">
        <v>354</v>
      </c>
      <c r="I6" s="16">
        <f t="shared" si="4"/>
        <v>5.1618958648653353E-2</v>
      </c>
      <c r="J6" s="17">
        <f t="shared" si="5"/>
        <v>0.64637980782413107</v>
      </c>
      <c r="K6" s="18">
        <f t="shared" si="6"/>
        <v>2.5126311398155159</v>
      </c>
      <c r="L6" s="22"/>
      <c r="M6" s="18">
        <f t="shared" si="0"/>
        <v>36.390532544378601</v>
      </c>
      <c r="N6" s="16">
        <f t="shared" si="1"/>
        <v>1.8784413946107529E-2</v>
      </c>
      <c r="O6" s="17">
        <f t="shared" si="2"/>
        <v>0.23522105432653226</v>
      </c>
      <c r="P6" s="18">
        <f t="shared" si="3"/>
        <v>0.91435985265475639</v>
      </c>
      <c r="Q6" s="3"/>
    </row>
    <row r="7" spans="1:17" x14ac:dyDescent="0.2">
      <c r="A7" s="6">
        <v>2008</v>
      </c>
      <c r="B7" s="15"/>
      <c r="C7" s="15"/>
      <c r="D7" s="15"/>
      <c r="E7" s="15"/>
      <c r="F7" s="15"/>
      <c r="G7" s="15"/>
      <c r="H7" s="5">
        <v>694</v>
      </c>
      <c r="I7" s="16">
        <f t="shared" si="4"/>
        <v>0.10562492116545254</v>
      </c>
      <c r="J7" s="17">
        <f t="shared" si="5"/>
        <v>1.322650011385794</v>
      </c>
      <c r="K7" s="18">
        <f t="shared" si="6"/>
        <v>5.1414533149982233</v>
      </c>
      <c r="L7" s="22"/>
      <c r="M7" s="18">
        <f t="shared" si="0"/>
        <v>36.390532544378601</v>
      </c>
      <c r="N7" s="16">
        <f t="shared" si="1"/>
        <v>3.8437471311688245E-2</v>
      </c>
      <c r="O7" s="17">
        <f t="shared" si="2"/>
        <v>0.48131938284157466</v>
      </c>
      <c r="P7" s="18">
        <f t="shared" si="3"/>
        <v>1.8710022418484611</v>
      </c>
      <c r="Q7" s="3"/>
    </row>
    <row r="8" spans="1:17" x14ac:dyDescent="0.2">
      <c r="A8" s="6">
        <v>2009</v>
      </c>
      <c r="B8" s="15"/>
      <c r="C8" s="15"/>
      <c r="D8" s="15"/>
      <c r="E8" s="15"/>
      <c r="F8" s="15"/>
      <c r="G8" s="15"/>
      <c r="H8" s="5">
        <v>1592</v>
      </c>
      <c r="I8" s="16">
        <f t="shared" si="4"/>
        <v>0.20707258556164987</v>
      </c>
      <c r="J8" s="17">
        <f t="shared" si="5"/>
        <v>2.5929918302309072</v>
      </c>
      <c r="K8" s="18">
        <f t="shared" si="6"/>
        <v>10.07957231810386</v>
      </c>
      <c r="L8" s="22"/>
      <c r="M8" s="18">
        <f t="shared" si="0"/>
        <v>36.390532544378601</v>
      </c>
      <c r="N8" s="16">
        <f t="shared" si="1"/>
        <v>7.5354816639298411E-2</v>
      </c>
      <c r="O8" s="17">
        <f t="shared" si="2"/>
        <v>0.94360353585325651</v>
      </c>
      <c r="P8" s="18">
        <f t="shared" si="3"/>
        <v>3.6680100447537622</v>
      </c>
      <c r="Q8" s="3"/>
    </row>
    <row r="9" spans="1:17" x14ac:dyDescent="0.2">
      <c r="A9" s="6">
        <v>2010</v>
      </c>
      <c r="B9" s="15"/>
      <c r="C9" s="15"/>
      <c r="D9" s="15"/>
      <c r="E9" s="15"/>
      <c r="F9" s="15"/>
      <c r="G9" s="15">
        <v>1.37793580778955</v>
      </c>
      <c r="H9" s="5">
        <v>3616</v>
      </c>
      <c r="I9" s="16">
        <f t="shared" si="4"/>
        <v>0.47501376976101817</v>
      </c>
      <c r="J9" s="17">
        <f>$J$17*H8/$H$17</f>
        <v>5.9481887517688827</v>
      </c>
      <c r="K9" s="18">
        <f t="shared" si="6"/>
        <v>23.122016038071106</v>
      </c>
      <c r="L9" s="22"/>
      <c r="M9" s="18">
        <f t="shared" si="0"/>
        <v>36.390532544378601</v>
      </c>
      <c r="N9" s="16">
        <f t="shared" si="1"/>
        <v>0.17286004047516296</v>
      </c>
      <c r="O9" s="17">
        <f t="shared" si="2"/>
        <v>2.1645775635135225</v>
      </c>
      <c r="P9" s="18">
        <f t="shared" si="3"/>
        <v>8.414224771250705</v>
      </c>
      <c r="Q9" s="3"/>
    </row>
    <row r="10" spans="1:17" x14ac:dyDescent="0.2">
      <c r="A10" s="6">
        <v>2011</v>
      </c>
      <c r="B10" s="15"/>
      <c r="C10" s="15"/>
      <c r="D10" s="15"/>
      <c r="E10" s="15">
        <v>1.7509967820754799</v>
      </c>
      <c r="F10" s="15"/>
      <c r="G10" s="15">
        <v>2.3668945187660602</v>
      </c>
      <c r="H10" s="5">
        <v>7268</v>
      </c>
      <c r="I10" s="16">
        <f t="shared" si="4"/>
        <v>1.0789257484019106</v>
      </c>
      <c r="J10" s="17">
        <f t="shared" si="5"/>
        <v>13.510458873364495</v>
      </c>
      <c r="K10" s="18">
        <f t="shared" si="6"/>
        <v>52.51834798597055</v>
      </c>
      <c r="L10" s="22"/>
      <c r="M10" s="18">
        <f t="shared" si="0"/>
        <v>36.390532544378601</v>
      </c>
      <c r="N10" s="16">
        <f t="shared" si="1"/>
        <v>0.39262682560187762</v>
      </c>
      <c r="O10" s="17">
        <f t="shared" si="2"/>
        <v>4.9165279332065932</v>
      </c>
      <c r="P10" s="18">
        <f t="shared" si="3"/>
        <v>19.111706515604617</v>
      </c>
      <c r="Q10" s="3"/>
    </row>
    <row r="11" spans="1:17" x14ac:dyDescent="0.2">
      <c r="A11" s="6">
        <v>2012</v>
      </c>
      <c r="B11" s="15"/>
      <c r="C11" s="15"/>
      <c r="D11" s="15"/>
      <c r="E11" s="15">
        <v>2.3167535664338099</v>
      </c>
      <c r="F11" s="15"/>
      <c r="G11" s="15">
        <v>5.8352107206978303</v>
      </c>
      <c r="H11" s="5">
        <v>13058</v>
      </c>
      <c r="I11" s="16">
        <f t="shared" si="4"/>
        <v>2.1685930142104777</v>
      </c>
      <c r="J11" s="17">
        <f t="shared" si="5"/>
        <v>27.155424527547886</v>
      </c>
      <c r="K11" s="18">
        <f t="shared" si="6"/>
        <v>105.55955563109346</v>
      </c>
      <c r="L11" s="22"/>
      <c r="M11" s="18">
        <f t="shared" si="0"/>
        <v>36.390532544378601</v>
      </c>
      <c r="N11" s="16">
        <f t="shared" si="1"/>
        <v>0.78916254659138474</v>
      </c>
      <c r="O11" s="17">
        <f t="shared" si="2"/>
        <v>9.8820036002614824</v>
      </c>
      <c r="P11" s="18">
        <f t="shared" si="3"/>
        <v>38.413684445634502</v>
      </c>
      <c r="Q11" s="3"/>
    </row>
    <row r="12" spans="1:17" x14ac:dyDescent="0.2">
      <c r="A12" s="6">
        <v>2013</v>
      </c>
      <c r="B12" s="15"/>
      <c r="C12" s="15">
        <v>1.0567649843634701</v>
      </c>
      <c r="D12" s="15"/>
      <c r="E12" s="15">
        <v>3.52767361032104</v>
      </c>
      <c r="F12" s="15"/>
      <c r="G12" s="15">
        <v>11.080585207954</v>
      </c>
      <c r="H12" s="5">
        <v>19061</v>
      </c>
      <c r="I12" s="16">
        <f t="shared" si="4"/>
        <v>3.8961870637810145</v>
      </c>
      <c r="J12" s="17">
        <f t="shared" si="5"/>
        <v>48.788598442586725</v>
      </c>
      <c r="K12" s="18">
        <f t="shared" si="6"/>
        <v>189.65281747809829</v>
      </c>
      <c r="L12" s="22"/>
      <c r="M12" s="18">
        <f t="shared" si="0"/>
        <v>36.390532544378601</v>
      </c>
      <c r="N12" s="16">
        <f t="shared" si="1"/>
        <v>1.4178432214350991</v>
      </c>
      <c r="O12" s="17">
        <f t="shared" si="2"/>
        <v>17.754430794195713</v>
      </c>
      <c r="P12" s="18">
        <f t="shared" si="3"/>
        <v>69.015670265698304</v>
      </c>
      <c r="Q12" s="3"/>
    </row>
    <row r="13" spans="1:17" x14ac:dyDescent="0.2">
      <c r="A13" s="6">
        <v>2014</v>
      </c>
      <c r="B13" s="15"/>
      <c r="C13" s="15">
        <v>1.81561890346209</v>
      </c>
      <c r="D13" s="15"/>
      <c r="E13" s="15">
        <v>6.5646174723739401</v>
      </c>
      <c r="F13" s="15"/>
      <c r="G13" s="15">
        <v>16.2074028144024</v>
      </c>
      <c r="H13" s="5">
        <v>26818</v>
      </c>
      <c r="I13" s="16">
        <f t="shared" si="4"/>
        <v>5.687335091340934</v>
      </c>
      <c r="J13" s="17">
        <f t="shared" si="5"/>
        <v>71.21760414413734</v>
      </c>
      <c r="K13" s="18">
        <f t="shared" si="6"/>
        <v>276.83966564175461</v>
      </c>
      <c r="L13" s="22"/>
      <c r="M13" s="18">
        <f>M14</f>
        <v>36.390532544378601</v>
      </c>
      <c r="N13" s="16">
        <f t="shared" si="1"/>
        <v>2.0696515273222871</v>
      </c>
      <c r="O13" s="17">
        <f t="shared" si="2"/>
        <v>25.916465413399024</v>
      </c>
      <c r="P13" s="18">
        <f t="shared" si="3"/>
        <v>100.74342862111162</v>
      </c>
      <c r="Q13" s="3"/>
    </row>
    <row r="14" spans="1:17" x14ac:dyDescent="0.2">
      <c r="A14" s="6">
        <v>2015</v>
      </c>
      <c r="B14" s="15"/>
      <c r="C14" s="15">
        <v>5.3633787790886496</v>
      </c>
      <c r="D14" s="15"/>
      <c r="E14" s="15">
        <v>13.507751171507801</v>
      </c>
      <c r="F14" s="15"/>
      <c r="G14" s="15">
        <v>30.1568706012166</v>
      </c>
      <c r="H14" s="5">
        <v>36801</v>
      </c>
      <c r="I14" s="16">
        <f t="shared" si="4"/>
        <v>8.0018337169918254</v>
      </c>
      <c r="J14" s="17">
        <f>$J$17*H13/$H$17</f>
        <v>100.20007911114189</v>
      </c>
      <c r="K14" s="18">
        <f t="shared" si="6"/>
        <v>389.50139830966765</v>
      </c>
      <c r="L14" s="22">
        <v>36.390532544378601</v>
      </c>
      <c r="M14" s="18">
        <v>36.390532544378601</v>
      </c>
      <c r="N14" s="16">
        <f t="shared" si="1"/>
        <v>2.9119099029289703</v>
      </c>
      <c r="O14" s="17">
        <f t="shared" si="2"/>
        <v>36.463342398433191</v>
      </c>
      <c r="P14" s="18">
        <f t="shared" si="3"/>
        <v>141.74163311268933</v>
      </c>
      <c r="Q14" s="3"/>
    </row>
    <row r="15" spans="1:17" x14ac:dyDescent="0.2">
      <c r="A15" s="6">
        <v>2016</v>
      </c>
      <c r="B15" s="15"/>
      <c r="C15" s="15">
        <v>8.1658019711467098</v>
      </c>
      <c r="D15" s="15"/>
      <c r="E15" s="15">
        <v>21.840264572724401</v>
      </c>
      <c r="F15" s="15"/>
      <c r="G15" s="15">
        <v>46.850659863521102</v>
      </c>
      <c r="H15" s="5">
        <v>47269</v>
      </c>
      <c r="I15" s="16">
        <f>$I$17*H14/$H$17</f>
        <v>10.980516168954289</v>
      </c>
      <c r="J15" s="17">
        <f t="shared" si="5"/>
        <v>137.49955669211471</v>
      </c>
      <c r="K15" s="18">
        <f t="shared" si="6"/>
        <v>534.49328656850173</v>
      </c>
      <c r="L15" s="22">
        <v>34.319526627218899</v>
      </c>
      <c r="M15" s="18">
        <v>34.319526627218899</v>
      </c>
      <c r="N15" s="16">
        <f t="shared" si="1"/>
        <v>3.7684611704103435</v>
      </c>
      <c r="O15" s="17">
        <f t="shared" si="2"/>
        <v>47.189196971258255</v>
      </c>
      <c r="P15" s="18">
        <f t="shared" si="3"/>
        <v>183.43556580457437</v>
      </c>
      <c r="Q15" s="3"/>
    </row>
    <row r="16" spans="1:17" x14ac:dyDescent="0.2">
      <c r="A16" s="6">
        <v>2017</v>
      </c>
      <c r="B16" s="15"/>
      <c r="C16" s="15">
        <v>14.8946776717207</v>
      </c>
      <c r="D16" s="15"/>
      <c r="E16" s="15">
        <v>32.594593379974597</v>
      </c>
      <c r="F16" s="15"/>
      <c r="G16" s="15">
        <v>71.335910290521397</v>
      </c>
      <c r="H16" s="5">
        <v>53644</v>
      </c>
      <c r="I16" s="16">
        <f>$I$17*H15/$H$17</f>
        <v>14.103910730423095</v>
      </c>
      <c r="J16" s="17">
        <f t="shared" si="5"/>
        <v>176.61113951467541</v>
      </c>
      <c r="K16" s="18">
        <f>$K$17*H15/$H$17</f>
        <v>686.52925634647181</v>
      </c>
      <c r="L16" s="22">
        <v>31.360946745562099</v>
      </c>
      <c r="M16" s="18">
        <v>31.360946745562099</v>
      </c>
      <c r="N16" s="16">
        <f t="shared" si="1"/>
        <v>4.4231199332096054</v>
      </c>
      <c r="O16" s="17">
        <f t="shared" si="2"/>
        <v>55.386925409927734</v>
      </c>
      <c r="P16" s="18">
        <f t="shared" si="3"/>
        <v>215.30207447552053</v>
      </c>
      <c r="Q16" s="3"/>
    </row>
    <row r="17" spans="1:17" s="2" customFormat="1" x14ac:dyDescent="0.2">
      <c r="A17" s="30" t="s">
        <v>30</v>
      </c>
      <c r="B17" s="37">
        <v>239</v>
      </c>
      <c r="C17" s="37">
        <v>19.311159668783201</v>
      </c>
      <c r="D17" s="37">
        <v>433</v>
      </c>
      <c r="E17" s="37">
        <v>50.634075632203299</v>
      </c>
      <c r="F17" s="37">
        <v>940</v>
      </c>
      <c r="G17" s="37">
        <v>122.51630294986001</v>
      </c>
      <c r="H17" s="38">
        <v>64721</v>
      </c>
      <c r="I17" s="39">
        <f t="shared" ref="I17:I29" si="7">MIN(B17:G17)</f>
        <v>19.311159668783201</v>
      </c>
      <c r="J17" s="40">
        <f>AVERAGE(D17:E17)</f>
        <v>241.81703781610165</v>
      </c>
      <c r="K17" s="41">
        <f>MAX(B17:G17)</f>
        <v>940</v>
      </c>
      <c r="L17" s="42">
        <v>28.4023668639053</v>
      </c>
      <c r="M17" s="41">
        <v>28.4023668639053</v>
      </c>
      <c r="N17" s="39">
        <f t="shared" si="1"/>
        <v>5.4848264148023249</v>
      </c>
      <c r="O17" s="40">
        <f t="shared" si="2"/>
        <v>68.681762219957804</v>
      </c>
      <c r="P17" s="41">
        <f t="shared" si="3"/>
        <v>266.98224852070985</v>
      </c>
      <c r="Q17" s="43"/>
    </row>
    <row r="18" spans="1:17" x14ac:dyDescent="0.2">
      <c r="A18" s="6">
        <v>2019</v>
      </c>
      <c r="B18" s="15">
        <v>294</v>
      </c>
      <c r="C18" s="15">
        <v>28.243004899724799</v>
      </c>
      <c r="D18" s="15">
        <v>550</v>
      </c>
      <c r="E18" s="15">
        <v>77.085224075866407</v>
      </c>
      <c r="F18" s="15">
        <v>1198</v>
      </c>
      <c r="G18" s="15">
        <v>165.359426011349</v>
      </c>
      <c r="H18" s="9"/>
      <c r="I18" s="16">
        <f t="shared" si="7"/>
        <v>28.243004899724799</v>
      </c>
      <c r="J18" s="17">
        <f t="shared" ref="J18:J29" si="8">AVERAGE(D18:E18)</f>
        <v>313.54261203793322</v>
      </c>
      <c r="K18" s="18">
        <f t="shared" ref="K18:K29" si="9">MAX(B18:G18)</f>
        <v>1198</v>
      </c>
      <c r="L18" s="22">
        <v>25.443786982248501</v>
      </c>
      <c r="M18" s="18">
        <v>25.443786982248501</v>
      </c>
      <c r="N18" s="16">
        <f t="shared" si="1"/>
        <v>7.1860900040719846</v>
      </c>
      <c r="O18" s="17">
        <f t="shared" si="2"/>
        <v>79.777114305509571</v>
      </c>
      <c r="P18" s="18">
        <f t="shared" si="3"/>
        <v>304.816568047337</v>
      </c>
      <c r="Q18" s="3"/>
    </row>
    <row r="19" spans="1:17" x14ac:dyDescent="0.2">
      <c r="A19" s="6">
        <v>2020</v>
      </c>
      <c r="B19" s="15">
        <v>352</v>
      </c>
      <c r="C19" s="15">
        <v>42.145420581407599</v>
      </c>
      <c r="D19" s="15">
        <v>682</v>
      </c>
      <c r="E19" s="15">
        <v>117.363084099004</v>
      </c>
      <c r="F19" s="15">
        <v>1590</v>
      </c>
      <c r="G19" s="15">
        <v>256.84912635842898</v>
      </c>
      <c r="H19" s="9"/>
      <c r="I19" s="16">
        <f t="shared" si="7"/>
        <v>42.145420581407599</v>
      </c>
      <c r="J19" s="17">
        <f t="shared" si="8"/>
        <v>399.68154204950201</v>
      </c>
      <c r="K19" s="18">
        <f t="shared" si="9"/>
        <v>1590</v>
      </c>
      <c r="L19" s="22">
        <v>21.597633136094601</v>
      </c>
      <c r="M19" s="18">
        <v>21.597633136094601</v>
      </c>
      <c r="N19" s="16">
        <f t="shared" si="1"/>
        <v>9.1024133208365203</v>
      </c>
      <c r="O19" s="17">
        <f t="shared" si="2"/>
        <v>86.321753164537114</v>
      </c>
      <c r="P19" s="18">
        <f t="shared" si="3"/>
        <v>343.40236686390415</v>
      </c>
      <c r="Q19" s="3"/>
    </row>
    <row r="20" spans="1:17" x14ac:dyDescent="0.2">
      <c r="A20" s="6">
        <v>2021</v>
      </c>
      <c r="B20" s="15">
        <v>444</v>
      </c>
      <c r="C20" s="15">
        <v>64.164483972136694</v>
      </c>
      <c r="D20" s="15">
        <v>899</v>
      </c>
      <c r="E20" s="15">
        <v>171.65249514447399</v>
      </c>
      <c r="F20" s="15">
        <v>2095</v>
      </c>
      <c r="G20" s="15">
        <v>398.95804734203801</v>
      </c>
      <c r="H20" s="9"/>
      <c r="I20" s="16">
        <f t="shared" si="7"/>
        <v>64.164483972136694</v>
      </c>
      <c r="J20" s="17">
        <f t="shared" si="8"/>
        <v>535.32624757223698</v>
      </c>
      <c r="K20" s="18">
        <f t="shared" si="9"/>
        <v>2095</v>
      </c>
      <c r="L20" s="22">
        <v>21.597633136094601</v>
      </c>
      <c r="M20" s="18">
        <v>21.597633136094601</v>
      </c>
      <c r="N20" s="16">
        <f t="shared" si="1"/>
        <v>13.858009851970303</v>
      </c>
      <c r="O20" s="17">
        <f t="shared" si="2"/>
        <v>115.61779903187328</v>
      </c>
      <c r="P20" s="18">
        <f t="shared" si="3"/>
        <v>452.47041420118182</v>
      </c>
      <c r="Q20" s="3"/>
    </row>
    <row r="21" spans="1:17" x14ac:dyDescent="0.2">
      <c r="A21" s="6">
        <v>2022</v>
      </c>
      <c r="B21" s="15">
        <v>575</v>
      </c>
      <c r="C21" s="15">
        <v>101.675553319196</v>
      </c>
      <c r="D21" s="15">
        <v>1186</v>
      </c>
      <c r="E21" s="15">
        <v>261.38143460217498</v>
      </c>
      <c r="F21" s="15">
        <v>2915</v>
      </c>
      <c r="G21" s="15">
        <v>595.40832417490401</v>
      </c>
      <c r="H21" s="9"/>
      <c r="I21" s="16">
        <f t="shared" si="7"/>
        <v>101.675553319196</v>
      </c>
      <c r="J21" s="17">
        <f t="shared" si="8"/>
        <v>723.69071730108749</v>
      </c>
      <c r="K21" s="18">
        <f t="shared" si="9"/>
        <v>2915</v>
      </c>
      <c r="L21" s="22">
        <v>22.485207100591701</v>
      </c>
      <c r="M21" s="18">
        <v>22.485207100591701</v>
      </c>
      <c r="N21" s="16">
        <f t="shared" si="1"/>
        <v>22.861958734493761</v>
      </c>
      <c r="O21" s="17">
        <f t="shared" si="2"/>
        <v>162.72335655290715</v>
      </c>
      <c r="P21" s="18">
        <f t="shared" si="3"/>
        <v>655.44378698224818</v>
      </c>
      <c r="Q21" s="3"/>
    </row>
    <row r="22" spans="1:17" x14ac:dyDescent="0.2">
      <c r="A22" s="6">
        <v>2023</v>
      </c>
      <c r="B22" s="15">
        <v>765</v>
      </c>
      <c r="C22" s="15">
        <v>148.74128020230901</v>
      </c>
      <c r="D22" s="15">
        <v>1606</v>
      </c>
      <c r="E22" s="15">
        <v>390.01571537430499</v>
      </c>
      <c r="F22" s="15">
        <v>4090</v>
      </c>
      <c r="G22" s="15">
        <v>962.83969707264896</v>
      </c>
      <c r="H22" s="9"/>
      <c r="I22" s="16">
        <f t="shared" si="7"/>
        <v>148.74128020230901</v>
      </c>
      <c r="J22" s="17">
        <f t="shared" si="8"/>
        <v>998.00785768715252</v>
      </c>
      <c r="K22" s="18">
        <f t="shared" si="9"/>
        <v>4090</v>
      </c>
      <c r="L22" s="22">
        <v>22.485207100591701</v>
      </c>
      <c r="M22" s="18">
        <v>22.485207100591701</v>
      </c>
      <c r="N22" s="16">
        <f t="shared" si="1"/>
        <v>33.444784897560588</v>
      </c>
      <c r="O22" s="17">
        <f t="shared" si="2"/>
        <v>224.40413368113474</v>
      </c>
      <c r="P22" s="18">
        <f t="shared" si="3"/>
        <v>919.64497041420054</v>
      </c>
      <c r="Q22" s="3"/>
    </row>
    <row r="23" spans="1:17" x14ac:dyDescent="0.2">
      <c r="A23" s="6">
        <v>2024</v>
      </c>
      <c r="B23" s="15">
        <v>1010</v>
      </c>
      <c r="C23" s="15">
        <v>226.46857634140301</v>
      </c>
      <c r="D23" s="15">
        <v>2137</v>
      </c>
      <c r="E23" s="15">
        <v>605.93718784892803</v>
      </c>
      <c r="F23" s="15">
        <v>4227</v>
      </c>
      <c r="G23" s="15"/>
      <c r="H23" s="9"/>
      <c r="I23" s="16">
        <f t="shared" si="7"/>
        <v>226.46857634140301</v>
      </c>
      <c r="J23" s="17">
        <f t="shared" si="8"/>
        <v>1371.4685939244641</v>
      </c>
      <c r="K23" s="18">
        <f t="shared" si="9"/>
        <v>4227</v>
      </c>
      <c r="L23" s="22">
        <v>22.485207100591701</v>
      </c>
      <c r="M23" s="18">
        <v>22.485207100591701</v>
      </c>
      <c r="N23" s="16">
        <f t="shared" si="1"/>
        <v>50.921928408126085</v>
      </c>
      <c r="O23" s="17">
        <f t="shared" si="2"/>
        <v>308.37755366348875</v>
      </c>
      <c r="P23" s="18">
        <f t="shared" si="3"/>
        <v>950.44970414201123</v>
      </c>
      <c r="Q23" s="3"/>
    </row>
    <row r="24" spans="1:17" x14ac:dyDescent="0.2">
      <c r="A24" s="6">
        <v>2025</v>
      </c>
      <c r="B24" s="15">
        <v>1322</v>
      </c>
      <c r="C24" s="15">
        <v>337.933604137332</v>
      </c>
      <c r="D24" s="15">
        <v>2962</v>
      </c>
      <c r="E24" s="15">
        <v>979.64861582227297</v>
      </c>
      <c r="F24" s="15">
        <v>8385</v>
      </c>
      <c r="G24" s="15"/>
      <c r="H24" s="9"/>
      <c r="I24" s="16">
        <f t="shared" si="7"/>
        <v>337.933604137332</v>
      </c>
      <c r="J24" s="17">
        <f t="shared" si="8"/>
        <v>1970.8243079111364</v>
      </c>
      <c r="K24" s="18">
        <f t="shared" si="9"/>
        <v>8385</v>
      </c>
      <c r="L24" s="22">
        <v>23.372781065088699</v>
      </c>
      <c r="M24" s="18">
        <v>23.372781065088699</v>
      </c>
      <c r="N24" s="16">
        <f t="shared" si="1"/>
        <v>78.984481440382126</v>
      </c>
      <c r="O24" s="17">
        <f t="shared" si="2"/>
        <v>460.63645066561946</v>
      </c>
      <c r="P24" s="18">
        <f t="shared" si="3"/>
        <v>1959.8076923076871</v>
      </c>
      <c r="Q24" s="3"/>
    </row>
    <row r="25" spans="1:17" x14ac:dyDescent="0.2">
      <c r="A25" s="6">
        <v>2026</v>
      </c>
      <c r="B25" s="15">
        <v>1680</v>
      </c>
      <c r="C25" s="15"/>
      <c r="D25" s="15">
        <v>3848</v>
      </c>
      <c r="E25" s="15"/>
      <c r="F25" s="15">
        <v>11496</v>
      </c>
      <c r="G25" s="15"/>
      <c r="H25" s="9"/>
      <c r="I25" s="16">
        <f t="shared" si="7"/>
        <v>1680</v>
      </c>
      <c r="J25" s="17">
        <f t="shared" si="8"/>
        <v>3848</v>
      </c>
      <c r="K25" s="18">
        <f t="shared" si="9"/>
        <v>11496</v>
      </c>
      <c r="L25" s="7"/>
      <c r="M25" s="18">
        <f>M24</f>
        <v>23.372781065088699</v>
      </c>
      <c r="N25" s="16">
        <f t="shared" si="1"/>
        <v>392.66272189349019</v>
      </c>
      <c r="O25" s="17">
        <f t="shared" si="2"/>
        <v>899.38461538461308</v>
      </c>
      <c r="P25" s="18">
        <f t="shared" si="3"/>
        <v>2686.9349112425966</v>
      </c>
      <c r="Q25" s="3"/>
    </row>
    <row r="26" spans="1:17" x14ac:dyDescent="0.2">
      <c r="A26" s="6">
        <v>2027</v>
      </c>
      <c r="B26" s="15">
        <v>2207</v>
      </c>
      <c r="C26" s="15"/>
      <c r="D26" s="15">
        <v>5012</v>
      </c>
      <c r="E26" s="15"/>
      <c r="F26" s="15">
        <v>15820</v>
      </c>
      <c r="G26" s="15"/>
      <c r="H26" s="9"/>
      <c r="I26" s="16">
        <f t="shared" si="7"/>
        <v>2207</v>
      </c>
      <c r="J26" s="17">
        <f t="shared" si="8"/>
        <v>5012</v>
      </c>
      <c r="K26" s="18">
        <f t="shared" si="9"/>
        <v>15820</v>
      </c>
      <c r="L26" s="7"/>
      <c r="M26" s="18">
        <f t="shared" ref="M26:M29" si="10">M25</f>
        <v>23.372781065088699</v>
      </c>
      <c r="N26" s="16">
        <f t="shared" si="1"/>
        <v>515.8372781065076</v>
      </c>
      <c r="O26" s="17">
        <f t="shared" si="2"/>
        <v>1171.4437869822455</v>
      </c>
      <c r="P26" s="18">
        <f t="shared" si="3"/>
        <v>3697.5739644970322</v>
      </c>
      <c r="Q26" s="3"/>
    </row>
    <row r="27" spans="1:17" x14ac:dyDescent="0.2">
      <c r="A27" s="6">
        <v>2028</v>
      </c>
      <c r="B27" s="15">
        <v>2805</v>
      </c>
      <c r="C27" s="15"/>
      <c r="D27" s="15">
        <v>6327</v>
      </c>
      <c r="E27" s="15"/>
      <c r="F27" s="15">
        <v>20175</v>
      </c>
      <c r="G27" s="15"/>
      <c r="H27" s="9"/>
      <c r="I27" s="16">
        <f t="shared" si="7"/>
        <v>2805</v>
      </c>
      <c r="J27" s="17">
        <f t="shared" si="8"/>
        <v>6327</v>
      </c>
      <c r="K27" s="18">
        <f t="shared" si="9"/>
        <v>20175</v>
      </c>
      <c r="L27" s="7"/>
      <c r="M27" s="18">
        <f>M26</f>
        <v>23.372781065088699</v>
      </c>
      <c r="N27" s="16">
        <f t="shared" si="1"/>
        <v>655.60650887573797</v>
      </c>
      <c r="O27" s="17">
        <f t="shared" si="2"/>
        <v>1478.795857988162</v>
      </c>
      <c r="P27" s="18">
        <f t="shared" si="3"/>
        <v>4715.4585798816443</v>
      </c>
      <c r="Q27" s="3"/>
    </row>
    <row r="28" spans="1:17" x14ac:dyDescent="0.2">
      <c r="A28" s="6">
        <v>2029</v>
      </c>
      <c r="B28" s="15">
        <v>3515</v>
      </c>
      <c r="C28" s="15"/>
      <c r="D28" s="15">
        <v>8212</v>
      </c>
      <c r="E28" s="15"/>
      <c r="F28" s="15">
        <v>24990</v>
      </c>
      <c r="G28" s="15"/>
      <c r="H28" s="9"/>
      <c r="I28" s="16">
        <f t="shared" si="7"/>
        <v>3515</v>
      </c>
      <c r="J28" s="17">
        <f t="shared" si="8"/>
        <v>8212</v>
      </c>
      <c r="K28" s="18">
        <f t="shared" si="9"/>
        <v>24990</v>
      </c>
      <c r="L28" s="7"/>
      <c r="M28" s="18">
        <f t="shared" si="10"/>
        <v>23.372781065088699</v>
      </c>
      <c r="N28" s="16">
        <f t="shared" si="1"/>
        <v>821.55325443786774</v>
      </c>
      <c r="O28" s="17">
        <f t="shared" si="2"/>
        <v>1919.3727810650839</v>
      </c>
      <c r="P28" s="18">
        <f t="shared" si="3"/>
        <v>5840.857988165666</v>
      </c>
      <c r="Q28" s="3"/>
    </row>
    <row r="29" spans="1:17" x14ac:dyDescent="0.2">
      <c r="A29" s="4">
        <v>2030</v>
      </c>
      <c r="B29" s="1">
        <v>4461</v>
      </c>
      <c r="C29" s="1"/>
      <c r="D29" s="1">
        <v>10253</v>
      </c>
      <c r="E29" s="1"/>
      <c r="F29" s="1">
        <v>29729</v>
      </c>
      <c r="G29" s="1"/>
      <c r="H29" s="10"/>
      <c r="I29" s="19">
        <f t="shared" si="7"/>
        <v>4461</v>
      </c>
      <c r="J29" s="20">
        <f t="shared" si="8"/>
        <v>10253</v>
      </c>
      <c r="K29" s="21">
        <f t="shared" si="9"/>
        <v>29729</v>
      </c>
      <c r="L29" s="8"/>
      <c r="M29" s="21">
        <f t="shared" si="10"/>
        <v>23.372781065088699</v>
      </c>
      <c r="N29" s="19">
        <f t="shared" si="1"/>
        <v>1042.6597633136068</v>
      </c>
      <c r="O29" s="20">
        <f t="shared" si="2"/>
        <v>2396.4112426035445</v>
      </c>
      <c r="P29" s="21">
        <f t="shared" si="3"/>
        <v>6948.4940828402187</v>
      </c>
      <c r="Q29" s="3"/>
    </row>
    <row r="30" spans="1:17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">
      <c r="A31" s="44" t="s">
        <v>41</v>
      </c>
      <c r="B31" s="45"/>
      <c r="C31" s="45"/>
      <c r="D31" s="45"/>
      <c r="E31" s="45"/>
      <c r="F31" s="45"/>
      <c r="G31" s="45"/>
      <c r="H31" s="46"/>
      <c r="I31" s="26"/>
      <c r="J31" s="26"/>
      <c r="K31" s="3"/>
      <c r="L31" s="3"/>
      <c r="M31" s="3"/>
      <c r="N31" s="3"/>
      <c r="O31" s="3"/>
      <c r="P31" s="3"/>
      <c r="Q31" s="3"/>
    </row>
    <row r="32" spans="1:17" x14ac:dyDescent="0.2">
      <c r="A32" s="47" t="s">
        <v>16</v>
      </c>
      <c r="B32" s="26"/>
      <c r="C32" s="26"/>
      <c r="D32" s="26"/>
      <c r="E32" s="26"/>
      <c r="F32" s="26"/>
      <c r="G32" s="26"/>
      <c r="H32" s="48"/>
      <c r="I32" s="26"/>
      <c r="J32" s="26"/>
      <c r="K32" s="3"/>
      <c r="L32" s="3"/>
      <c r="M32" s="3"/>
      <c r="N32" s="3"/>
      <c r="O32" s="3"/>
      <c r="P32" s="3"/>
      <c r="Q32" s="3"/>
    </row>
    <row r="33" spans="1:17" x14ac:dyDescent="0.2">
      <c r="A33" s="47" t="s">
        <v>17</v>
      </c>
      <c r="B33" s="26"/>
      <c r="C33" s="26"/>
      <c r="D33" s="26"/>
      <c r="E33" s="26"/>
      <c r="F33" s="26"/>
      <c r="G33" s="26"/>
      <c r="H33" s="48"/>
      <c r="I33" s="26"/>
      <c r="J33" s="26"/>
      <c r="K33" s="3"/>
      <c r="L33" s="3"/>
      <c r="M33" s="3"/>
      <c r="N33" s="3"/>
      <c r="O33" s="3"/>
      <c r="P33" s="3"/>
      <c r="Q33" s="3"/>
    </row>
    <row r="34" spans="1:17" x14ac:dyDescent="0.2">
      <c r="A34" s="47" t="s">
        <v>18</v>
      </c>
      <c r="B34" s="26"/>
      <c r="C34" s="26"/>
      <c r="D34" s="26"/>
      <c r="E34" s="26"/>
      <c r="F34" s="26"/>
      <c r="G34" s="26"/>
      <c r="H34" s="48"/>
      <c r="I34" s="26"/>
      <c r="J34" s="26"/>
      <c r="K34" s="3"/>
      <c r="L34" s="3"/>
      <c r="M34" s="3"/>
      <c r="N34" s="3"/>
      <c r="O34" s="3"/>
      <c r="P34" s="3"/>
      <c r="Q34" s="3"/>
    </row>
    <row r="35" spans="1:17" x14ac:dyDescent="0.2">
      <c r="A35" s="47" t="s">
        <v>19</v>
      </c>
      <c r="B35" s="26"/>
      <c r="C35" s="26"/>
      <c r="D35" s="26"/>
      <c r="E35" s="26"/>
      <c r="F35" s="26"/>
      <c r="G35" s="26"/>
      <c r="H35" s="48"/>
      <c r="I35" s="26"/>
      <c r="J35" s="26"/>
      <c r="K35" s="3"/>
      <c r="L35" s="3"/>
      <c r="M35" s="3"/>
      <c r="N35" s="3"/>
      <c r="O35" s="3"/>
      <c r="P35" s="3"/>
      <c r="Q35" s="3"/>
    </row>
    <row r="36" spans="1:17" x14ac:dyDescent="0.2">
      <c r="A36" s="47" t="s">
        <v>20</v>
      </c>
      <c r="B36" s="26"/>
      <c r="C36" s="26"/>
      <c r="D36" s="26"/>
      <c r="E36" s="26"/>
      <c r="F36" s="26"/>
      <c r="G36" s="26"/>
      <c r="H36" s="48"/>
      <c r="I36" s="26"/>
      <c r="J36" s="26"/>
      <c r="K36" s="3"/>
      <c r="L36" s="3"/>
      <c r="M36" s="3"/>
      <c r="N36" s="3"/>
      <c r="O36" s="3"/>
      <c r="P36" s="3"/>
      <c r="Q36" s="3"/>
    </row>
    <row r="37" spans="1:17" x14ac:dyDescent="0.2">
      <c r="A37" s="49" t="s">
        <v>21</v>
      </c>
      <c r="B37" s="50"/>
      <c r="C37" s="50"/>
      <c r="D37" s="50"/>
      <c r="E37" s="50"/>
      <c r="F37" s="50"/>
      <c r="G37" s="50"/>
      <c r="H37" s="51"/>
      <c r="I37" s="26"/>
      <c r="J37" s="26"/>
      <c r="K37" s="3"/>
      <c r="L37" s="3"/>
      <c r="M37" s="3"/>
      <c r="N37" s="3"/>
      <c r="O37" s="3"/>
      <c r="P37" s="3"/>
      <c r="Q37" s="3"/>
    </row>
    <row r="38" spans="1:17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40" spans="1:17" ht="19" x14ac:dyDescent="0.25">
      <c r="B40" s="98" t="s">
        <v>54</v>
      </c>
    </row>
    <row r="41" spans="1:17" x14ac:dyDescent="0.2">
      <c r="B41" t="s">
        <v>56</v>
      </c>
    </row>
    <row r="67" spans="2:2" ht="19" x14ac:dyDescent="0.25">
      <c r="B67" s="98" t="s">
        <v>55</v>
      </c>
    </row>
    <row r="68" spans="2:2" x14ac:dyDescent="0.2">
      <c r="B68" t="s">
        <v>56</v>
      </c>
    </row>
  </sheetData>
  <mergeCells count="7">
    <mergeCell ref="A1:A2"/>
    <mergeCell ref="B1:C1"/>
    <mergeCell ref="D1:E1"/>
    <mergeCell ref="F1:G1"/>
    <mergeCell ref="N1:P1"/>
    <mergeCell ref="I1:K1"/>
    <mergeCell ref="L1:M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43"/>
  <sheetViews>
    <sheetView showGridLines="0" zoomScale="95" zoomScaleNormal="95" workbookViewId="0">
      <pane xSplit="3" ySplit="24" topLeftCell="D25" activePane="bottomRight" state="frozen"/>
      <selection pane="topRight" activeCell="B1" sqref="B1"/>
      <selection pane="bottomLeft" activeCell="A2" sqref="A2"/>
      <selection pane="bottomRight" activeCell="P41" sqref="P41"/>
    </sheetView>
  </sheetViews>
  <sheetFormatPr baseColWidth="10" defaultColWidth="11" defaultRowHeight="16" x14ac:dyDescent="0.2"/>
  <cols>
    <col min="3" max="3" width="29.83203125" customWidth="1"/>
    <col min="30" max="30" width="14.5" customWidth="1"/>
  </cols>
  <sheetData>
    <row r="1" spans="2:30" ht="17" thickBot="1" x14ac:dyDescent="0.25"/>
    <row r="2" spans="2:30" ht="24" x14ac:dyDescent="0.3">
      <c r="B2" s="107" t="s">
        <v>53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9"/>
    </row>
    <row r="3" spans="2:30" ht="24" x14ac:dyDescent="0.3">
      <c r="B3" s="59"/>
      <c r="C3" s="60" t="s">
        <v>46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110" t="s">
        <v>49</v>
      </c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</row>
    <row r="4" spans="2:30" x14ac:dyDescent="0.2">
      <c r="B4" s="62"/>
      <c r="C4" s="31" t="s">
        <v>33</v>
      </c>
      <c r="D4" s="57">
        <v>2004</v>
      </c>
      <c r="E4" s="57">
        <v>2005</v>
      </c>
      <c r="F4" s="57">
        <v>2006</v>
      </c>
      <c r="G4" s="57">
        <v>2007</v>
      </c>
      <c r="H4" s="57">
        <v>2008</v>
      </c>
      <c r="I4" s="57">
        <v>2009</v>
      </c>
      <c r="J4" s="57">
        <v>2010</v>
      </c>
      <c r="K4" s="57">
        <v>2011</v>
      </c>
      <c r="L4" s="57">
        <v>2012</v>
      </c>
      <c r="M4" s="57">
        <v>2013</v>
      </c>
      <c r="N4" s="57">
        <v>2014</v>
      </c>
      <c r="O4" s="57">
        <v>2015</v>
      </c>
      <c r="P4" s="57">
        <v>2016</v>
      </c>
      <c r="Q4" s="57">
        <v>2017</v>
      </c>
      <c r="R4" s="31">
        <v>2018</v>
      </c>
      <c r="S4" s="31">
        <v>2019</v>
      </c>
      <c r="T4" s="31">
        <v>2020</v>
      </c>
      <c r="U4" s="31">
        <v>2021</v>
      </c>
      <c r="V4" s="31">
        <v>2022</v>
      </c>
      <c r="W4" s="31">
        <v>2023</v>
      </c>
      <c r="X4" s="31">
        <v>2024</v>
      </c>
      <c r="Y4" s="31">
        <v>2025</v>
      </c>
      <c r="Z4" s="31">
        <v>2026</v>
      </c>
      <c r="AA4" s="31">
        <v>2027</v>
      </c>
      <c r="AB4" s="31">
        <v>2028</v>
      </c>
      <c r="AC4" s="31">
        <v>2029</v>
      </c>
      <c r="AD4" s="63">
        <v>2030</v>
      </c>
    </row>
    <row r="5" spans="2:30" x14ac:dyDescent="0.2">
      <c r="B5" s="62"/>
      <c r="C5" s="33" t="s">
        <v>3</v>
      </c>
      <c r="D5" s="64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5">
        <f t="shared" ref="N5:P5" si="0">O5-$R$5/5</f>
        <v>5.7149999999999999</v>
      </c>
      <c r="O5" s="65">
        <f t="shared" si="0"/>
        <v>11.43</v>
      </c>
      <c r="P5" s="65">
        <f t="shared" si="0"/>
        <v>17.145</v>
      </c>
      <c r="Q5" s="65">
        <f>R5-$R$5/5</f>
        <v>22.86</v>
      </c>
      <c r="R5" s="66">
        <v>28.574999999999999</v>
      </c>
      <c r="S5" s="66">
        <v>45.107500000000002</v>
      </c>
      <c r="T5" s="66">
        <v>72.844999999999999</v>
      </c>
      <c r="U5" s="66">
        <v>121.375</v>
      </c>
      <c r="V5" s="66">
        <v>241.17500000000001</v>
      </c>
      <c r="W5" s="66">
        <v>247.4</v>
      </c>
      <c r="X5" s="66">
        <v>370.45</v>
      </c>
      <c r="Y5" s="66">
        <v>598.125</v>
      </c>
      <c r="Z5" s="66">
        <v>742.875</v>
      </c>
      <c r="AA5" s="66">
        <v>1010</v>
      </c>
      <c r="AB5" s="66">
        <v>1249.5</v>
      </c>
      <c r="AC5" s="66">
        <v>1655.25</v>
      </c>
      <c r="AD5" s="67">
        <v>2063.75</v>
      </c>
    </row>
    <row r="6" spans="2:30" x14ac:dyDescent="0.2">
      <c r="B6" s="62"/>
      <c r="C6" s="33" t="s">
        <v>2</v>
      </c>
      <c r="D6" s="64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5">
        <f t="shared" ref="N6:P6" si="1">O6-$R$6/5</f>
        <v>30.104999999999993</v>
      </c>
      <c r="O6" s="65">
        <f t="shared" si="1"/>
        <v>60.209999999999994</v>
      </c>
      <c r="P6" s="65">
        <f t="shared" si="1"/>
        <v>90.314999999999998</v>
      </c>
      <c r="Q6" s="65">
        <f>R6-$R$6/5</f>
        <v>120.42</v>
      </c>
      <c r="R6" s="66">
        <v>150.52500000000001</v>
      </c>
      <c r="S6" s="66">
        <v>180.9375</v>
      </c>
      <c r="T6" s="66">
        <v>211.22499999999999</v>
      </c>
      <c r="U6" s="66">
        <v>247.57500000000002</v>
      </c>
      <c r="V6" s="66">
        <v>288.875</v>
      </c>
      <c r="W6" s="66">
        <v>361.1</v>
      </c>
      <c r="X6" s="66">
        <v>459.9</v>
      </c>
      <c r="Y6" s="66">
        <v>576.625</v>
      </c>
      <c r="Z6" s="66">
        <v>720.875</v>
      </c>
      <c r="AA6" s="66">
        <v>910</v>
      </c>
      <c r="AB6" s="66">
        <v>1146.5</v>
      </c>
      <c r="AC6" s="66">
        <v>1443.25</v>
      </c>
      <c r="AD6" s="67">
        <v>1814.25</v>
      </c>
    </row>
    <row r="7" spans="2:30" x14ac:dyDescent="0.2">
      <c r="B7" s="62"/>
      <c r="C7" s="33" t="s">
        <v>6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6">
        <v>5.2649999999999997</v>
      </c>
      <c r="S7" s="66">
        <v>9.3554999999999993</v>
      </c>
      <c r="T7" s="66">
        <v>15.433</v>
      </c>
      <c r="U7" s="66">
        <v>20.515000000000001</v>
      </c>
      <c r="V7" s="66">
        <v>33.695</v>
      </c>
      <c r="W7" s="66">
        <v>53.08</v>
      </c>
      <c r="X7" s="66">
        <v>76.599999999999994</v>
      </c>
      <c r="Y7" s="66">
        <v>112.825</v>
      </c>
      <c r="Z7" s="66">
        <v>139.875</v>
      </c>
      <c r="AA7" s="66">
        <v>172.4</v>
      </c>
      <c r="AB7" s="66">
        <v>199.1</v>
      </c>
      <c r="AC7" s="66">
        <v>254.85</v>
      </c>
      <c r="AD7" s="67">
        <v>311.05</v>
      </c>
    </row>
    <row r="8" spans="2:30" s="53" customFormat="1" x14ac:dyDescent="0.2">
      <c r="B8" s="68"/>
      <c r="C8" s="69" t="s">
        <v>43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1">
        <f t="shared" ref="M8:P8" si="2">N8-$R$8/6</f>
        <v>29.1875</v>
      </c>
      <c r="N8" s="71">
        <f t="shared" si="2"/>
        <v>58.375</v>
      </c>
      <c r="O8" s="71">
        <f t="shared" si="2"/>
        <v>87.5625</v>
      </c>
      <c r="P8" s="71">
        <f t="shared" si="2"/>
        <v>116.75</v>
      </c>
      <c r="Q8" s="71">
        <f>R8-$R$8/6</f>
        <v>145.9375</v>
      </c>
      <c r="R8" s="72">
        <v>175.125</v>
      </c>
      <c r="S8" s="72">
        <v>205.1875</v>
      </c>
      <c r="T8" s="72">
        <v>225.22499999999999</v>
      </c>
      <c r="U8" s="72">
        <v>281.27499999999998</v>
      </c>
      <c r="V8" s="72">
        <v>366.375</v>
      </c>
      <c r="W8" s="72">
        <v>494.6</v>
      </c>
      <c r="X8" s="72">
        <v>617.9</v>
      </c>
      <c r="Y8" s="72">
        <v>834.625</v>
      </c>
      <c r="Z8" s="72">
        <v>1126.875</v>
      </c>
      <c r="AA8" s="72">
        <v>1524</v>
      </c>
      <c r="AB8" s="72">
        <v>1986.5</v>
      </c>
      <c r="AC8" s="72">
        <v>2587.25</v>
      </c>
      <c r="AD8" s="73">
        <v>3366.25</v>
      </c>
    </row>
    <row r="9" spans="2:30" x14ac:dyDescent="0.2">
      <c r="B9" s="62"/>
      <c r="C9" s="74" t="s">
        <v>44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f>W8-W10</f>
        <v>98.919999999999959</v>
      </c>
      <c r="X9" s="65">
        <f t="shared" ref="X9:AD9" si="3">X8-X10</f>
        <v>185.37</v>
      </c>
      <c r="Y9" s="65">
        <f t="shared" si="3"/>
        <v>333.85</v>
      </c>
      <c r="Z9" s="65">
        <f t="shared" si="3"/>
        <v>563.4375</v>
      </c>
      <c r="AA9" s="65">
        <f t="shared" si="3"/>
        <v>914.4</v>
      </c>
      <c r="AB9" s="65">
        <f t="shared" si="3"/>
        <v>1390.5500000000002</v>
      </c>
      <c r="AC9" s="65">
        <f t="shared" si="3"/>
        <v>2069.8000000000002</v>
      </c>
      <c r="AD9" s="75">
        <f t="shared" si="3"/>
        <v>3029.625</v>
      </c>
    </row>
    <row r="10" spans="2:30" x14ac:dyDescent="0.2">
      <c r="B10" s="62"/>
      <c r="C10" s="33" t="s">
        <v>45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5">
        <f t="shared" ref="M10:P10" si="4">N10-$R$10/6</f>
        <v>29.1875</v>
      </c>
      <c r="N10" s="65">
        <f t="shared" si="4"/>
        <v>58.375</v>
      </c>
      <c r="O10" s="65">
        <f t="shared" si="4"/>
        <v>87.5625</v>
      </c>
      <c r="P10" s="65">
        <f t="shared" si="4"/>
        <v>116.75</v>
      </c>
      <c r="Q10" s="65">
        <f>R10-$R$10/6</f>
        <v>145.9375</v>
      </c>
      <c r="R10" s="65">
        <v>175.125</v>
      </c>
      <c r="S10" s="65">
        <v>205.1875</v>
      </c>
      <c r="T10" s="65">
        <v>225.22499999999999</v>
      </c>
      <c r="U10" s="65">
        <v>281.27499999999998</v>
      </c>
      <c r="V10" s="65">
        <v>366.375</v>
      </c>
      <c r="W10" s="65">
        <f>W8*0.8</f>
        <v>395.68000000000006</v>
      </c>
      <c r="X10" s="65">
        <f>X8*0.7</f>
        <v>432.53</v>
      </c>
      <c r="Y10" s="65">
        <f>Y8*0.6</f>
        <v>500.77499999999998</v>
      </c>
      <c r="Z10" s="65">
        <f>Z8*0.5</f>
        <v>563.4375</v>
      </c>
      <c r="AA10" s="65">
        <f>AA8*0.4</f>
        <v>609.6</v>
      </c>
      <c r="AB10" s="65">
        <f>AB8*0.3</f>
        <v>595.94999999999993</v>
      </c>
      <c r="AC10" s="65">
        <f>AC8*0.2</f>
        <v>517.45000000000005</v>
      </c>
      <c r="AD10" s="75">
        <f>AD8*0.1</f>
        <v>336.625</v>
      </c>
    </row>
    <row r="11" spans="2:30" x14ac:dyDescent="0.2">
      <c r="B11" s="62"/>
      <c r="C11" s="33" t="s">
        <v>7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6">
        <v>0.56999999999999995</v>
      </c>
      <c r="S11" s="66">
        <v>0.78399999999999992</v>
      </c>
      <c r="T11" s="66">
        <v>1.004</v>
      </c>
      <c r="U11" s="66">
        <v>1.2200000000000002</v>
      </c>
      <c r="V11" s="66">
        <v>1.6600000000000001</v>
      </c>
      <c r="W11" s="66">
        <v>2.4400000000000004</v>
      </c>
      <c r="X11" s="66">
        <v>3.45</v>
      </c>
      <c r="Y11" s="66">
        <v>5.0999999999999996</v>
      </c>
      <c r="Z11" s="66">
        <v>7.8</v>
      </c>
      <c r="AA11" s="66">
        <v>11.7</v>
      </c>
      <c r="AB11" s="66">
        <v>17.8</v>
      </c>
      <c r="AC11" s="66">
        <v>24.8</v>
      </c>
      <c r="AD11" s="67">
        <v>34.9</v>
      </c>
    </row>
    <row r="12" spans="2:30" x14ac:dyDescent="0.2">
      <c r="B12" s="62"/>
      <c r="C12" s="33" t="s">
        <v>4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6">
        <v>16.14</v>
      </c>
      <c r="S12" s="66">
        <v>30.167999999999999</v>
      </c>
      <c r="T12" s="66">
        <v>40.207999999999998</v>
      </c>
      <c r="U12" s="66">
        <v>55.239999999999995</v>
      </c>
      <c r="V12" s="66">
        <v>76.319999999999993</v>
      </c>
      <c r="W12" s="66">
        <v>108.47999999999999</v>
      </c>
      <c r="X12" s="66">
        <v>147.69999999999999</v>
      </c>
      <c r="Y12" s="66">
        <v>206.2</v>
      </c>
      <c r="Z12" s="66">
        <v>277</v>
      </c>
      <c r="AA12" s="66">
        <v>368.4</v>
      </c>
      <c r="AB12" s="66">
        <v>493.6</v>
      </c>
      <c r="AC12" s="66">
        <v>636.6</v>
      </c>
      <c r="AD12" s="67">
        <v>762.8</v>
      </c>
    </row>
    <row r="13" spans="2:30" x14ac:dyDescent="0.2">
      <c r="B13" s="62"/>
      <c r="C13" s="33" t="s">
        <v>5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6">
        <v>2</v>
      </c>
      <c r="S13" s="66">
        <v>2.6</v>
      </c>
      <c r="T13" s="66">
        <v>5</v>
      </c>
      <c r="U13" s="66">
        <v>8</v>
      </c>
      <c r="V13" s="66">
        <v>15</v>
      </c>
      <c r="W13" s="66">
        <v>30</v>
      </c>
      <c r="X13" s="66">
        <v>45.5</v>
      </c>
      <c r="Y13" s="66">
        <v>70</v>
      </c>
      <c r="Z13" s="66">
        <v>110</v>
      </c>
      <c r="AA13" s="66">
        <v>165</v>
      </c>
      <c r="AB13" s="66">
        <v>220</v>
      </c>
      <c r="AC13" s="66">
        <v>365</v>
      </c>
      <c r="AD13" s="67">
        <v>435</v>
      </c>
    </row>
    <row r="14" spans="2:30" x14ac:dyDescent="0.2">
      <c r="B14" s="62"/>
      <c r="C14" s="33" t="s">
        <v>8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5">
        <f t="shared" ref="O14:P14" si="5">P14-$R14/4</f>
        <v>0.25</v>
      </c>
      <c r="P14" s="65">
        <f t="shared" si="5"/>
        <v>0.5</v>
      </c>
      <c r="Q14" s="65">
        <f>R14-$R14/4</f>
        <v>0.75</v>
      </c>
      <c r="R14" s="66">
        <v>1</v>
      </c>
      <c r="S14" s="66">
        <v>2</v>
      </c>
      <c r="T14" s="66">
        <v>2.8</v>
      </c>
      <c r="U14" s="66">
        <v>4.5</v>
      </c>
      <c r="V14" s="66">
        <v>7</v>
      </c>
      <c r="W14" s="66">
        <v>10</v>
      </c>
      <c r="X14" s="66">
        <v>14</v>
      </c>
      <c r="Y14" s="66">
        <v>21</v>
      </c>
      <c r="Z14" s="66">
        <v>27</v>
      </c>
      <c r="AA14" s="66">
        <v>31</v>
      </c>
      <c r="AB14" s="66">
        <v>45</v>
      </c>
      <c r="AC14" s="66">
        <v>52</v>
      </c>
      <c r="AD14" s="67">
        <v>60</v>
      </c>
    </row>
    <row r="15" spans="2:30" x14ac:dyDescent="0.2">
      <c r="B15" s="62"/>
      <c r="C15" s="33" t="s">
        <v>9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6">
        <v>10</v>
      </c>
      <c r="S15" s="66">
        <v>18</v>
      </c>
      <c r="T15" s="66">
        <v>24</v>
      </c>
      <c r="U15" s="66">
        <v>33</v>
      </c>
      <c r="V15" s="66">
        <v>43</v>
      </c>
      <c r="W15" s="66">
        <v>55</v>
      </c>
      <c r="X15" s="66">
        <v>70</v>
      </c>
      <c r="Y15" s="66">
        <v>95</v>
      </c>
      <c r="Z15" s="66">
        <v>130</v>
      </c>
      <c r="AA15" s="66">
        <v>160</v>
      </c>
      <c r="AB15" s="66">
        <v>195</v>
      </c>
      <c r="AC15" s="66">
        <v>225</v>
      </c>
      <c r="AD15" s="67">
        <v>165</v>
      </c>
    </row>
    <row r="16" spans="2:30" x14ac:dyDescent="0.2">
      <c r="B16" s="62"/>
      <c r="C16" s="33" t="s">
        <v>37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5">
        <f t="shared" ref="O16:P16" si="6">P16-$R16/4</f>
        <v>5.049999999999998</v>
      </c>
      <c r="P16" s="65">
        <f t="shared" si="6"/>
        <v>10.099999999999998</v>
      </c>
      <c r="Q16" s="65">
        <f>R16-$R16/4</f>
        <v>15.149999999999999</v>
      </c>
      <c r="R16" s="66">
        <v>20.2</v>
      </c>
      <c r="S16" s="66">
        <v>25</v>
      </c>
      <c r="T16" s="66">
        <v>33</v>
      </c>
      <c r="U16" s="66">
        <v>45</v>
      </c>
      <c r="V16" s="66">
        <v>67</v>
      </c>
      <c r="W16" s="66">
        <v>120</v>
      </c>
      <c r="X16" s="66">
        <v>150</v>
      </c>
      <c r="Y16" s="66">
        <v>220</v>
      </c>
      <c r="Z16" s="66">
        <v>280</v>
      </c>
      <c r="AA16" s="66">
        <v>325</v>
      </c>
      <c r="AB16" s="66">
        <v>400</v>
      </c>
      <c r="AC16" s="66">
        <v>480</v>
      </c>
      <c r="AD16" s="67">
        <v>550</v>
      </c>
    </row>
    <row r="17" spans="2:30" ht="17" thickBot="1" x14ac:dyDescent="0.25">
      <c r="B17" s="62"/>
      <c r="C17" s="33" t="s">
        <v>38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5">
        <f t="shared" ref="O17:P17" si="7">P17-$R17/4</f>
        <v>1.25</v>
      </c>
      <c r="P17" s="65">
        <f t="shared" si="7"/>
        <v>2.5</v>
      </c>
      <c r="Q17" s="65">
        <f>R17-$R17/4</f>
        <v>3.75</v>
      </c>
      <c r="R17" s="66">
        <v>5</v>
      </c>
      <c r="S17" s="66">
        <v>8</v>
      </c>
      <c r="T17" s="66">
        <v>15</v>
      </c>
      <c r="U17" s="66">
        <v>25</v>
      </c>
      <c r="V17" s="66">
        <v>35</v>
      </c>
      <c r="W17" s="66">
        <v>50</v>
      </c>
      <c r="X17" s="66">
        <v>80</v>
      </c>
      <c r="Y17" s="66">
        <v>105</v>
      </c>
      <c r="Z17" s="66">
        <v>130</v>
      </c>
      <c r="AA17" s="66">
        <v>155</v>
      </c>
      <c r="AB17" s="66">
        <v>170</v>
      </c>
      <c r="AC17" s="66">
        <v>210</v>
      </c>
      <c r="AD17" s="67">
        <v>250</v>
      </c>
    </row>
    <row r="18" spans="2:30" ht="17" thickBot="1" x14ac:dyDescent="0.25">
      <c r="B18" s="62"/>
      <c r="C18" s="35" t="s">
        <v>39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54">
        <v>15</v>
      </c>
      <c r="S18" s="55">
        <v>25</v>
      </c>
      <c r="T18" s="55">
        <v>35</v>
      </c>
      <c r="U18" s="55">
        <v>50</v>
      </c>
      <c r="V18" s="55">
        <v>68</v>
      </c>
      <c r="W18" s="55">
        <v>75</v>
      </c>
      <c r="X18" s="55">
        <v>105</v>
      </c>
      <c r="Y18" s="55">
        <v>130</v>
      </c>
      <c r="Z18" s="55">
        <v>180</v>
      </c>
      <c r="AA18" s="55">
        <v>210</v>
      </c>
      <c r="AB18" s="55">
        <v>250</v>
      </c>
      <c r="AC18" s="55">
        <v>330</v>
      </c>
      <c r="AD18" s="76">
        <v>400</v>
      </c>
    </row>
    <row r="19" spans="2:30" s="36" customFormat="1" x14ac:dyDescent="0.2">
      <c r="B19" s="77"/>
      <c r="C19" s="60" t="s">
        <v>34</v>
      </c>
      <c r="D19" s="90">
        <f t="shared" ref="D19:P19" si="8">SUM(D5:D18)-D8</f>
        <v>0</v>
      </c>
      <c r="E19" s="90">
        <f t="shared" si="8"/>
        <v>0</v>
      </c>
      <c r="F19" s="90">
        <f t="shared" si="8"/>
        <v>0</v>
      </c>
      <c r="G19" s="90">
        <f t="shared" si="8"/>
        <v>0</v>
      </c>
      <c r="H19" s="90">
        <f t="shared" si="8"/>
        <v>0</v>
      </c>
      <c r="I19" s="90">
        <f t="shared" si="8"/>
        <v>0</v>
      </c>
      <c r="J19" s="90">
        <f t="shared" si="8"/>
        <v>0</v>
      </c>
      <c r="K19" s="90">
        <f t="shared" si="8"/>
        <v>0</v>
      </c>
      <c r="L19" s="90">
        <f t="shared" si="8"/>
        <v>0</v>
      </c>
      <c r="M19" s="90">
        <f t="shared" si="8"/>
        <v>29.1875</v>
      </c>
      <c r="N19" s="90">
        <f t="shared" si="8"/>
        <v>94.194999999999993</v>
      </c>
      <c r="O19" s="90">
        <f t="shared" si="8"/>
        <v>165.7525</v>
      </c>
      <c r="P19" s="90">
        <f t="shared" si="8"/>
        <v>237.31</v>
      </c>
      <c r="Q19" s="90">
        <f>SUM(Q5:Q18)-Q8</f>
        <v>308.86749999999995</v>
      </c>
      <c r="R19" s="90">
        <f t="shared" ref="R19:AD19" si="9">SUM(R5:R18)-R8</f>
        <v>429.40000000000009</v>
      </c>
      <c r="S19" s="90">
        <f t="shared" si="9"/>
        <v>552.14</v>
      </c>
      <c r="T19" s="90">
        <f t="shared" si="9"/>
        <v>680.7399999999999</v>
      </c>
      <c r="U19" s="90">
        <f t="shared" si="9"/>
        <v>892.69999999999993</v>
      </c>
      <c r="V19" s="90">
        <f t="shared" si="9"/>
        <v>1243.0999999999999</v>
      </c>
      <c r="W19" s="90">
        <f t="shared" si="9"/>
        <v>1607.1</v>
      </c>
      <c r="X19" s="90">
        <f t="shared" si="9"/>
        <v>2140.4999999999995</v>
      </c>
      <c r="Y19" s="90">
        <f t="shared" si="9"/>
        <v>2974.4999999999995</v>
      </c>
      <c r="Z19" s="90">
        <f t="shared" si="9"/>
        <v>3872.3</v>
      </c>
      <c r="AA19" s="90">
        <f t="shared" si="9"/>
        <v>5042.5</v>
      </c>
      <c r="AB19" s="90">
        <f t="shared" si="9"/>
        <v>6373</v>
      </c>
      <c r="AC19" s="90">
        <f t="shared" si="9"/>
        <v>8264</v>
      </c>
      <c r="AD19" s="91">
        <f t="shared" si="9"/>
        <v>10212.999999999998</v>
      </c>
    </row>
    <row r="20" spans="2:30" ht="21" x14ac:dyDescent="0.25">
      <c r="B20" s="78"/>
      <c r="C20" s="29"/>
      <c r="D20" s="79"/>
      <c r="E20" s="26" t="s">
        <v>47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80"/>
    </row>
    <row r="21" spans="2:30" ht="22" thickBot="1" x14ac:dyDescent="0.3">
      <c r="B21" s="81"/>
      <c r="C21" s="82"/>
      <c r="D21" s="83"/>
      <c r="E21" s="84" t="s">
        <v>48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5"/>
    </row>
    <row r="22" spans="2:30" ht="22" thickBot="1" x14ac:dyDescent="0.3">
      <c r="B22" s="52"/>
      <c r="D22" s="56"/>
      <c r="E22" s="3"/>
    </row>
    <row r="23" spans="2:30" ht="24" x14ac:dyDescent="0.3">
      <c r="B23" s="107" t="s">
        <v>52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9"/>
    </row>
    <row r="24" spans="2:30" x14ac:dyDescent="0.2">
      <c r="B24" s="62"/>
      <c r="C24" s="31" t="s">
        <v>33</v>
      </c>
      <c r="D24" s="31">
        <v>2004</v>
      </c>
      <c r="E24" s="31">
        <v>2005</v>
      </c>
      <c r="F24" s="31">
        <v>2006</v>
      </c>
      <c r="G24" s="31">
        <v>2007</v>
      </c>
      <c r="H24" s="31">
        <v>2008</v>
      </c>
      <c r="I24" s="31">
        <v>2009</v>
      </c>
      <c r="J24" s="31">
        <v>2010</v>
      </c>
      <c r="K24" s="31">
        <v>2011</v>
      </c>
      <c r="L24" s="31">
        <v>2012</v>
      </c>
      <c r="M24" s="31">
        <v>2013</v>
      </c>
      <c r="N24" s="31">
        <v>2014</v>
      </c>
      <c r="O24" s="31">
        <v>2015</v>
      </c>
      <c r="P24" s="31">
        <v>2016</v>
      </c>
      <c r="Q24" s="31">
        <v>2017</v>
      </c>
      <c r="R24" s="31">
        <v>2018</v>
      </c>
      <c r="S24" s="31">
        <v>2019</v>
      </c>
      <c r="T24" s="32">
        <v>2020</v>
      </c>
      <c r="U24" s="32">
        <v>2021</v>
      </c>
      <c r="V24" s="32">
        <v>2022</v>
      </c>
      <c r="W24" s="32">
        <v>2023</v>
      </c>
      <c r="X24" s="32">
        <v>2024</v>
      </c>
      <c r="Y24" s="32">
        <v>2025</v>
      </c>
      <c r="Z24" s="32">
        <v>2026</v>
      </c>
      <c r="AA24" s="32">
        <v>2027</v>
      </c>
      <c r="AB24" s="32">
        <v>2028</v>
      </c>
      <c r="AC24" s="32">
        <v>2029</v>
      </c>
      <c r="AD24" s="86">
        <v>2030</v>
      </c>
    </row>
    <row r="25" spans="2:30" x14ac:dyDescent="0.2">
      <c r="B25" s="62"/>
      <c r="C25" s="58" t="s">
        <v>35</v>
      </c>
      <c r="D25" s="87">
        <v>1</v>
      </c>
      <c r="E25" s="87">
        <v>1</v>
      </c>
      <c r="F25" s="87">
        <v>1</v>
      </c>
      <c r="G25" s="87">
        <v>1</v>
      </c>
      <c r="H25" s="87">
        <v>1</v>
      </c>
      <c r="I25" s="87">
        <v>1</v>
      </c>
      <c r="J25" s="87">
        <v>1</v>
      </c>
      <c r="K25" s="87">
        <v>1</v>
      </c>
      <c r="L25" s="87">
        <v>1</v>
      </c>
      <c r="M25" s="87">
        <f>1-M30</f>
        <v>0.90152671755725078</v>
      </c>
      <c r="N25" s="88">
        <v>0.89058524173027898</v>
      </c>
      <c r="O25" s="88">
        <v>0.73536895674300196</v>
      </c>
      <c r="P25" s="88">
        <v>0.53689567430025398</v>
      </c>
      <c r="Q25" s="88">
        <v>0.39949109414758199</v>
      </c>
      <c r="R25" s="88">
        <v>0.27226463104325599</v>
      </c>
      <c r="S25" s="88">
        <v>0.16030534351145001</v>
      </c>
      <c r="T25" s="88">
        <v>7.1246819338422293E-2</v>
      </c>
      <c r="U25" s="88">
        <v>4.0712468193384102E-2</v>
      </c>
      <c r="V25" s="88">
        <v>2.2900763358778602E-2</v>
      </c>
      <c r="W25" s="88">
        <v>1.5267175572519E-2</v>
      </c>
      <c r="X25" s="88">
        <v>1.0178117048345999E-2</v>
      </c>
      <c r="Y25" s="88">
        <v>7.6335877862594497E-3</v>
      </c>
      <c r="Z25" s="87">
        <f>Y25</f>
        <v>7.6335877862594497E-3</v>
      </c>
      <c r="AA25" s="87">
        <f>Y25</f>
        <v>7.6335877862594497E-3</v>
      </c>
      <c r="AB25" s="87">
        <f>Y25</f>
        <v>7.6335877862594497E-3</v>
      </c>
      <c r="AC25" s="87">
        <f>Y25</f>
        <v>7.6335877862594497E-3</v>
      </c>
      <c r="AD25" s="89">
        <f>Y25</f>
        <v>7.6335877862594497E-3</v>
      </c>
    </row>
    <row r="26" spans="2:30" x14ac:dyDescent="0.2">
      <c r="B26" s="62"/>
      <c r="C26" s="33" t="s">
        <v>3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f>(1-N$25)*N5/N$19</f>
        <v>6.6384133288545644E-3</v>
      </c>
      <c r="O26" s="95">
        <f t="shared" ref="O26:AD26" si="10">(1-O$25)*O5/O$19</f>
        <v>1.8248489913741797E-2</v>
      </c>
      <c r="P26" s="95">
        <f t="shared" si="10"/>
        <v>3.3458023952307722E-2</v>
      </c>
      <c r="Q26" s="95">
        <f t="shared" si="10"/>
        <v>4.444505682140814E-2</v>
      </c>
      <c r="R26" s="95">
        <f t="shared" si="10"/>
        <v>4.8428128011036228E-2</v>
      </c>
      <c r="S26" s="95">
        <f t="shared" si="10"/>
        <v>6.859949780410271E-2</v>
      </c>
      <c r="T26" s="95">
        <f t="shared" si="10"/>
        <v>9.9384530724347983E-2</v>
      </c>
      <c r="U26" s="95">
        <f t="shared" si="10"/>
        <v>0.13042850249022966</v>
      </c>
      <c r="V26" s="95">
        <f t="shared" si="10"/>
        <v>0.18956794175605068</v>
      </c>
      <c r="W26" s="95">
        <f t="shared" si="10"/>
        <v>0.15159162514053812</v>
      </c>
      <c r="X26" s="95">
        <f t="shared" si="10"/>
        <v>0.17130554381660373</v>
      </c>
      <c r="Y26" s="95">
        <f t="shared" si="10"/>
        <v>0.19954922182058957</v>
      </c>
      <c r="Z26" s="95">
        <f t="shared" si="10"/>
        <v>0.19037889586893642</v>
      </c>
      <c r="AA26" s="95">
        <f t="shared" si="10"/>
        <v>0.19876848316031293</v>
      </c>
      <c r="AB26" s="95">
        <f t="shared" si="10"/>
        <v>0.19456485674895166</v>
      </c>
      <c r="AC26" s="95">
        <f t="shared" si="10"/>
        <v>0.19876748594104476</v>
      </c>
      <c r="AD26" s="96">
        <f t="shared" si="10"/>
        <v>0.20052836416391928</v>
      </c>
    </row>
    <row r="27" spans="2:30" x14ac:dyDescent="0.2">
      <c r="B27" s="62"/>
      <c r="C27" s="33" t="s">
        <v>2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f>(1-N$25)*N6/N$19</f>
        <v>3.496927966144648E-2</v>
      </c>
      <c r="O27" s="95">
        <f t="shared" ref="O27:AD27" si="11">(1-O$25)*O6/O$19</f>
        <v>9.6127872065301281E-2</v>
      </c>
      <c r="P27" s="95">
        <f t="shared" si="11"/>
        <v>0.17624738601648715</v>
      </c>
      <c r="Q27" s="95">
        <f t="shared" si="11"/>
        <v>0.23412396073639405</v>
      </c>
      <c r="R27" s="95">
        <f t="shared" si="11"/>
        <v>0.25510565070380503</v>
      </c>
      <c r="S27" s="95">
        <f t="shared" si="11"/>
        <v>0.27516979734921759</v>
      </c>
      <c r="T27" s="95">
        <f t="shared" si="11"/>
        <v>0.28818034871645826</v>
      </c>
      <c r="U27" s="95">
        <f t="shared" si="11"/>
        <v>0.26604190734515848</v>
      </c>
      <c r="V27" s="95">
        <f t="shared" si="11"/>
        <v>0.22706101036500109</v>
      </c>
      <c r="W27" s="95">
        <f t="shared" si="11"/>
        <v>0.22126004785063993</v>
      </c>
      <c r="X27" s="95">
        <f t="shared" si="11"/>
        <v>0.21266950897896086</v>
      </c>
      <c r="Y27" s="95">
        <f t="shared" si="11"/>
        <v>0.1923762926349801</v>
      </c>
      <c r="Z27" s="95">
        <f t="shared" si="11"/>
        <v>0.18474088717418077</v>
      </c>
      <c r="AA27" s="95">
        <f t="shared" si="11"/>
        <v>0.1790884353226582</v>
      </c>
      <c r="AB27" s="95">
        <f t="shared" si="11"/>
        <v>0.17852629712899004</v>
      </c>
      <c r="AC27" s="95">
        <f t="shared" si="11"/>
        <v>0.1733098771088433</v>
      </c>
      <c r="AD27" s="96">
        <f t="shared" si="11"/>
        <v>0.17628520154301175</v>
      </c>
    </row>
    <row r="28" spans="2:30" x14ac:dyDescent="0.2">
      <c r="B28" s="62"/>
      <c r="C28" s="33" t="s">
        <v>6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f>(1-N$25)*N7/N$19</f>
        <v>0</v>
      </c>
      <c r="O28" s="95">
        <f t="shared" ref="O28:AD28" si="12">(1-O$25)*O7/O$19</f>
        <v>0</v>
      </c>
      <c r="P28" s="95">
        <f t="shared" si="12"/>
        <v>0</v>
      </c>
      <c r="Q28" s="95">
        <f t="shared" si="12"/>
        <v>0</v>
      </c>
      <c r="R28" s="95">
        <f t="shared" si="12"/>
        <v>8.9229779169940765E-3</v>
      </c>
      <c r="S28" s="95">
        <f t="shared" si="12"/>
        <v>1.4227846848224415E-2</v>
      </c>
      <c r="T28" s="95">
        <f t="shared" si="12"/>
        <v>2.105568621962883E-2</v>
      </c>
      <c r="U28" s="95">
        <f t="shared" si="12"/>
        <v>2.2045237722653439E-2</v>
      </c>
      <c r="V28" s="95">
        <f t="shared" si="12"/>
        <v>2.648488358026382E-2</v>
      </c>
      <c r="W28" s="95">
        <f t="shared" si="12"/>
        <v>3.2524185377767835E-2</v>
      </c>
      <c r="X28" s="95">
        <f t="shared" si="12"/>
        <v>3.5421796885819534E-2</v>
      </c>
      <c r="Y28" s="95">
        <f t="shared" si="12"/>
        <v>3.7641196993785611E-2</v>
      </c>
      <c r="Z28" s="95">
        <f t="shared" si="12"/>
        <v>3.584620300813391E-2</v>
      </c>
      <c r="AA28" s="95">
        <f t="shared" si="12"/>
        <v>3.3928402472116787E-2</v>
      </c>
      <c r="AB28" s="95">
        <f t="shared" si="12"/>
        <v>3.1002691459556839E-2</v>
      </c>
      <c r="AC28" s="95">
        <f t="shared" si="12"/>
        <v>3.0603167975879933E-2</v>
      </c>
      <c r="AD28" s="96">
        <f t="shared" si="12"/>
        <v>3.0223790513961037E-2</v>
      </c>
    </row>
    <row r="29" spans="2:30" x14ac:dyDescent="0.2">
      <c r="B29" s="62"/>
      <c r="C29" s="74" t="s">
        <v>42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5">
        <f>(1-N$25)*N9/N$19</f>
        <v>0</v>
      </c>
      <c r="O29" s="95">
        <f t="shared" ref="O29:AD29" si="13">(1-O$25)*O9/O$19</f>
        <v>0</v>
      </c>
      <c r="P29" s="95">
        <f t="shared" si="13"/>
        <v>0</v>
      </c>
      <c r="Q29" s="95">
        <f t="shared" si="13"/>
        <v>0</v>
      </c>
      <c r="R29" s="95">
        <f t="shared" si="13"/>
        <v>0</v>
      </c>
      <c r="S29" s="95">
        <f t="shared" si="13"/>
        <v>0</v>
      </c>
      <c r="T29" s="95">
        <f t="shared" si="13"/>
        <v>0</v>
      </c>
      <c r="U29" s="95">
        <f t="shared" si="13"/>
        <v>0</v>
      </c>
      <c r="V29" s="95">
        <f t="shared" si="13"/>
        <v>0</v>
      </c>
      <c r="W29" s="95">
        <f t="shared" si="13"/>
        <v>6.0612140496774554E-2</v>
      </c>
      <c r="X29" s="95">
        <f t="shared" si="13"/>
        <v>8.5719823612589646E-2</v>
      </c>
      <c r="Y29" s="95">
        <f t="shared" si="13"/>
        <v>0.11138057714491759</v>
      </c>
      <c r="Z29" s="95">
        <f t="shared" si="13"/>
        <v>0.14439388745233567</v>
      </c>
      <c r="AA29" s="95">
        <f t="shared" si="13"/>
        <v>0.179954357427515</v>
      </c>
      <c r="AB29" s="95">
        <f t="shared" si="13"/>
        <v>0.21652834057803502</v>
      </c>
      <c r="AC29" s="95">
        <f t="shared" si="13"/>
        <v>0.24854791868344633</v>
      </c>
      <c r="AD29" s="96">
        <f t="shared" si="13"/>
        <v>0.29437952527201156</v>
      </c>
    </row>
    <row r="30" spans="2:30" x14ac:dyDescent="0.2">
      <c r="B30" s="62"/>
      <c r="C30" s="33" t="s">
        <v>36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9.8473282442749221E-2</v>
      </c>
      <c r="N30" s="95">
        <f>(1-N$25)*N10/N$19</f>
        <v>6.7807065279419987E-2</v>
      </c>
      <c r="O30" s="95">
        <f t="shared" ref="O30:AD30" si="14">(1-O$25)*O10/O$19</f>
        <v>0.1397973226659682</v>
      </c>
      <c r="P30" s="95">
        <f t="shared" si="14"/>
        <v>0.22783460463294991</v>
      </c>
      <c r="Q30" s="95">
        <f t="shared" si="14"/>
        <v>0.28373580401899606</v>
      </c>
      <c r="R30" s="95">
        <f t="shared" si="14"/>
        <v>0.29679705749545826</v>
      </c>
      <c r="S30" s="95">
        <f t="shared" si="14"/>
        <v>0.31204920369515765</v>
      </c>
      <c r="T30" s="95">
        <f t="shared" si="14"/>
        <v>0.30728095177968667</v>
      </c>
      <c r="U30" s="95">
        <f t="shared" si="14"/>
        <v>0.30225562956077723</v>
      </c>
      <c r="V30" s="95">
        <f t="shared" si="14"/>
        <v>0.28797742162692264</v>
      </c>
      <c r="W30" s="95">
        <f t="shared" si="14"/>
        <v>0.24244856198709835</v>
      </c>
      <c r="X30" s="95">
        <f t="shared" si="14"/>
        <v>0.20001292176270916</v>
      </c>
      <c r="Y30" s="95">
        <f t="shared" si="14"/>
        <v>0.16707086571737637</v>
      </c>
      <c r="Z30" s="95">
        <f t="shared" si="14"/>
        <v>0.14439388745233567</v>
      </c>
      <c r="AA30" s="95">
        <f t="shared" si="14"/>
        <v>0.11996957161834335</v>
      </c>
      <c r="AB30" s="95">
        <f t="shared" si="14"/>
        <v>9.2797860247729264E-2</v>
      </c>
      <c r="AC30" s="95">
        <f t="shared" si="14"/>
        <v>6.2136979670861583E-2</v>
      </c>
      <c r="AD30" s="96">
        <f t="shared" si="14"/>
        <v>3.2708836141334623E-2</v>
      </c>
    </row>
    <row r="31" spans="2:30" x14ac:dyDescent="0.2">
      <c r="B31" s="62"/>
      <c r="C31" s="33" t="s">
        <v>7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f>(1-N$25)*N11/N$19</f>
        <v>0</v>
      </c>
      <c r="O31" s="95">
        <f t="shared" ref="O31:AD38" si="15">(1-O$25)*O11/O$19</f>
        <v>0</v>
      </c>
      <c r="P31" s="95">
        <f t="shared" si="15"/>
        <v>0</v>
      </c>
      <c r="Q31" s="95">
        <f t="shared" si="15"/>
        <v>0</v>
      </c>
      <c r="R31" s="95">
        <f t="shared" si="15"/>
        <v>9.6602040127001401E-4</v>
      </c>
      <c r="S31" s="95">
        <f t="shared" si="15"/>
        <v>1.1923074051635874E-3</v>
      </c>
      <c r="T31" s="95">
        <f t="shared" si="15"/>
        <v>1.3697861053915213E-3</v>
      </c>
      <c r="U31" s="95">
        <f t="shared" si="15"/>
        <v>1.3110012196752229E-3</v>
      </c>
      <c r="V31" s="95">
        <f t="shared" si="15"/>
        <v>1.3047902283198679E-3</v>
      </c>
      <c r="W31" s="95">
        <f t="shared" si="15"/>
        <v>1.4950831258808126E-3</v>
      </c>
      <c r="X31" s="95">
        <f t="shared" si="15"/>
        <v>1.595368136502316E-3</v>
      </c>
      <c r="Y31" s="95">
        <f t="shared" si="15"/>
        <v>1.7014855277492275E-3</v>
      </c>
      <c r="Z31" s="95">
        <f t="shared" si="15"/>
        <v>1.9989303554133657E-3</v>
      </c>
      <c r="AA31" s="95">
        <f t="shared" si="15"/>
        <v>2.302565597005605E-3</v>
      </c>
      <c r="AB31" s="95">
        <f t="shared" si="15"/>
        <v>2.7717122450030729E-3</v>
      </c>
      <c r="AC31" s="95">
        <f t="shared" si="15"/>
        <v>2.9780599011254559E-3</v>
      </c>
      <c r="AD31" s="96">
        <f t="shared" si="15"/>
        <v>3.3911277573934742E-3</v>
      </c>
    </row>
    <row r="32" spans="2:30" x14ac:dyDescent="0.2">
      <c r="B32" s="62"/>
      <c r="C32" s="33" t="s">
        <v>4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f t="shared" ref="N32:AC38" si="16">(1-N$25)*N12/N$19</f>
        <v>0</v>
      </c>
      <c r="O32" s="95">
        <f t="shared" si="16"/>
        <v>0</v>
      </c>
      <c r="P32" s="95">
        <f t="shared" si="16"/>
        <v>0</v>
      </c>
      <c r="Q32" s="95">
        <f t="shared" si="16"/>
        <v>0</v>
      </c>
      <c r="R32" s="95">
        <f t="shared" si="16"/>
        <v>2.7353630309645664E-2</v>
      </c>
      <c r="S32" s="95">
        <f t="shared" si="16"/>
        <v>4.5879502294611109E-2</v>
      </c>
      <c r="T32" s="95">
        <f t="shared" si="16"/>
        <v>5.4856931997591923E-2</v>
      </c>
      <c r="U32" s="95">
        <f t="shared" si="16"/>
        <v>5.9360415881032219E-2</v>
      </c>
      <c r="V32" s="95">
        <f t="shared" si="16"/>
        <v>5.9988909774320663E-2</v>
      </c>
      <c r="W32" s="95">
        <f t="shared" si="16"/>
        <v>6.6469925203094485E-2</v>
      </c>
      <c r="X32" s="95">
        <f t="shared" si="16"/>
        <v>6.8300253264171593E-2</v>
      </c>
      <c r="Y32" s="95">
        <f t="shared" si="16"/>
        <v>6.8793395259194257E-2</v>
      </c>
      <c r="Z32" s="95">
        <f t="shared" si="16"/>
        <v>7.0987654929423383E-2</v>
      </c>
      <c r="AA32" s="95">
        <f t="shared" si="16"/>
        <v>7.2501296233920071E-2</v>
      </c>
      <c r="AB32" s="95">
        <f t="shared" si="16"/>
        <v>7.6860514838961613E-2</v>
      </c>
      <c r="AC32" s="95">
        <f t="shared" si="16"/>
        <v>7.6444876332921977E-2</v>
      </c>
      <c r="AD32" s="96">
        <f t="shared" si="15"/>
        <v>7.411897574039375E-2</v>
      </c>
    </row>
    <row r="33" spans="2:30" x14ac:dyDescent="0.2">
      <c r="B33" s="62"/>
      <c r="C33" s="33" t="s">
        <v>5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f t="shared" si="16"/>
        <v>0</v>
      </c>
      <c r="O33" s="95">
        <f t="shared" si="15"/>
        <v>0</v>
      </c>
      <c r="P33" s="95">
        <f t="shared" si="15"/>
        <v>0</v>
      </c>
      <c r="Q33" s="95">
        <f t="shared" si="15"/>
        <v>0</v>
      </c>
      <c r="R33" s="95">
        <f t="shared" si="15"/>
        <v>3.3895452676140844E-3</v>
      </c>
      <c r="S33" s="95">
        <f t="shared" si="15"/>
        <v>3.9540806803894492E-3</v>
      </c>
      <c r="T33" s="95">
        <f t="shared" si="15"/>
        <v>6.8216439511529945E-3</v>
      </c>
      <c r="U33" s="95">
        <f t="shared" si="15"/>
        <v>8.5967293093457235E-3</v>
      </c>
      <c r="V33" s="95">
        <f t="shared" si="15"/>
        <v>1.1790273147468685E-2</v>
      </c>
      <c r="W33" s="95">
        <f t="shared" si="15"/>
        <v>1.8382169580501793E-2</v>
      </c>
      <c r="X33" s="95">
        <f t="shared" si="15"/>
        <v>2.1040362379958075E-2</v>
      </c>
      <c r="Y33" s="95">
        <f t="shared" si="15"/>
        <v>2.3353722929891362E-2</v>
      </c>
      <c r="Z33" s="95">
        <f t="shared" si="15"/>
        <v>2.8190043473778237E-2</v>
      </c>
      <c r="AA33" s="95">
        <f t="shared" si="15"/>
        <v>3.2472078932130333E-2</v>
      </c>
      <c r="AB33" s="95">
        <f t="shared" si="15"/>
        <v>3.4257117634869438E-2</v>
      </c>
      <c r="AC33" s="95">
        <f t="shared" si="15"/>
        <v>4.3830317093177071E-2</v>
      </c>
      <c r="AD33" s="96">
        <f t="shared" si="15"/>
        <v>4.2267638236852756E-2</v>
      </c>
    </row>
    <row r="34" spans="2:30" x14ac:dyDescent="0.2">
      <c r="B34" s="62"/>
      <c r="C34" s="33" t="s">
        <v>8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f t="shared" si="16"/>
        <v>0</v>
      </c>
      <c r="O34" s="95">
        <f t="shared" si="15"/>
        <v>3.9913582488499127E-4</v>
      </c>
      <c r="P34" s="95">
        <f t="shared" si="15"/>
        <v>9.7573706480920744E-4</v>
      </c>
      <c r="Q34" s="95">
        <f t="shared" si="15"/>
        <v>1.4581711555580097E-3</v>
      </c>
      <c r="R34" s="95">
        <f t="shared" si="15"/>
        <v>1.6947726338070422E-3</v>
      </c>
      <c r="S34" s="95">
        <f t="shared" si="15"/>
        <v>3.041600523376499E-3</v>
      </c>
      <c r="T34" s="95">
        <f t="shared" si="15"/>
        <v>3.8201206126456766E-3</v>
      </c>
      <c r="U34" s="95">
        <f t="shared" si="15"/>
        <v>4.8356602365069697E-3</v>
      </c>
      <c r="V34" s="95">
        <f t="shared" si="15"/>
        <v>5.5021274688187198E-3</v>
      </c>
      <c r="W34" s="95">
        <f t="shared" si="15"/>
        <v>6.1273898601672643E-3</v>
      </c>
      <c r="X34" s="95">
        <f t="shared" si="15"/>
        <v>6.4739576553717159E-3</v>
      </c>
      <c r="Y34" s="95">
        <f t="shared" si="15"/>
        <v>7.0061168789674073E-3</v>
      </c>
      <c r="Z34" s="95">
        <f t="shared" si="15"/>
        <v>6.9193743072001124E-3</v>
      </c>
      <c r="AA34" s="95">
        <f t="shared" si="15"/>
        <v>6.1008148296729714E-3</v>
      </c>
      <c r="AB34" s="95">
        <f t="shared" si="15"/>
        <v>7.0071376980414754E-3</v>
      </c>
      <c r="AC34" s="95">
        <f t="shared" si="15"/>
        <v>6.2443191475211168E-3</v>
      </c>
      <c r="AD34" s="96">
        <f t="shared" si="15"/>
        <v>5.8300190671521047E-3</v>
      </c>
    </row>
    <row r="35" spans="2:30" x14ac:dyDescent="0.2">
      <c r="B35" s="62"/>
      <c r="C35" s="33" t="s">
        <v>9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f t="shared" si="16"/>
        <v>0</v>
      </c>
      <c r="O35" s="95">
        <f t="shared" si="15"/>
        <v>0</v>
      </c>
      <c r="P35" s="95">
        <f t="shared" si="15"/>
        <v>0</v>
      </c>
      <c r="Q35" s="95">
        <f t="shared" si="15"/>
        <v>0</v>
      </c>
      <c r="R35" s="95">
        <f t="shared" si="15"/>
        <v>1.6947726338070422E-2</v>
      </c>
      <c r="S35" s="95">
        <f t="shared" si="15"/>
        <v>2.7374404710388493E-2</v>
      </c>
      <c r="T35" s="95">
        <f t="shared" si="15"/>
        <v>3.2743890965534372E-2</v>
      </c>
      <c r="U35" s="95">
        <f t="shared" si="15"/>
        <v>3.5461508401051112E-2</v>
      </c>
      <c r="V35" s="95">
        <f t="shared" si="15"/>
        <v>3.379878302274357E-2</v>
      </c>
      <c r="W35" s="95">
        <f t="shared" si="15"/>
        <v>3.3700644230919952E-2</v>
      </c>
      <c r="X35" s="95">
        <f t="shared" si="15"/>
        <v>3.2369788276858581E-2</v>
      </c>
      <c r="Y35" s="95">
        <f t="shared" si="15"/>
        <v>3.1694338261995414E-2</v>
      </c>
      <c r="Z35" s="95">
        <f t="shared" si="15"/>
        <v>3.3315505923556095E-2</v>
      </c>
      <c r="AA35" s="95">
        <f t="shared" si="15"/>
        <v>3.1488076540247593E-2</v>
      </c>
      <c r="AB35" s="95">
        <f t="shared" si="15"/>
        <v>3.0364263358179728E-2</v>
      </c>
      <c r="AC35" s="95">
        <f t="shared" si="15"/>
        <v>2.7018688619081754E-2</v>
      </c>
      <c r="AD35" s="96">
        <f t="shared" si="15"/>
        <v>1.6032552434668289E-2</v>
      </c>
    </row>
    <row r="36" spans="2:30" x14ac:dyDescent="0.2">
      <c r="B36" s="62"/>
      <c r="C36" s="33" t="s">
        <v>37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f t="shared" si="16"/>
        <v>0</v>
      </c>
      <c r="O36" s="95">
        <f t="shared" si="15"/>
        <v>8.0625436626768198E-3</v>
      </c>
      <c r="P36" s="95">
        <f t="shared" si="15"/>
        <v>1.9709888709145983E-2</v>
      </c>
      <c r="Q36" s="95">
        <f t="shared" si="15"/>
        <v>2.9455057342271794E-2</v>
      </c>
      <c r="R36" s="95">
        <f t="shared" si="15"/>
        <v>3.4234407202902252E-2</v>
      </c>
      <c r="S36" s="95">
        <f t="shared" si="15"/>
        <v>3.802000654220624E-2</v>
      </c>
      <c r="T36" s="95">
        <f t="shared" si="15"/>
        <v>4.5022850077609762E-2</v>
      </c>
      <c r="U36" s="95">
        <f t="shared" si="15"/>
        <v>4.8356602365069695E-2</v>
      </c>
      <c r="V36" s="95">
        <f t="shared" si="15"/>
        <v>5.2663220058693463E-2</v>
      </c>
      <c r="W36" s="95">
        <f t="shared" si="15"/>
        <v>7.3528678322007171E-2</v>
      </c>
      <c r="X36" s="95">
        <f t="shared" si="15"/>
        <v>6.9363832021839808E-2</v>
      </c>
      <c r="Y36" s="95">
        <f t="shared" si="15"/>
        <v>7.3397414922515711E-2</v>
      </c>
      <c r="Z36" s="95">
        <f t="shared" si="15"/>
        <v>7.1756474296890055E-2</v>
      </c>
      <c r="AA36" s="95">
        <f t="shared" si="15"/>
        <v>6.3960155472377919E-2</v>
      </c>
      <c r="AB36" s="95">
        <f t="shared" si="15"/>
        <v>6.228566842703534E-2</v>
      </c>
      <c r="AC36" s="95">
        <f t="shared" si="15"/>
        <v>5.7639869054041074E-2</v>
      </c>
      <c r="AD36" s="96">
        <f t="shared" si="15"/>
        <v>5.3441841448894294E-2</v>
      </c>
    </row>
    <row r="37" spans="2:30" x14ac:dyDescent="0.2">
      <c r="B37" s="62"/>
      <c r="C37" s="33" t="s">
        <v>38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f t="shared" si="16"/>
        <v>0</v>
      </c>
      <c r="O37" s="95">
        <f t="shared" si="15"/>
        <v>1.9956791244249562E-3</v>
      </c>
      <c r="P37" s="95">
        <f t="shared" si="15"/>
        <v>4.8786853240460363E-3</v>
      </c>
      <c r="Q37" s="95">
        <f t="shared" si="15"/>
        <v>7.2908557777900482E-3</v>
      </c>
      <c r="R37" s="95">
        <f t="shared" si="15"/>
        <v>8.4738631690352111E-3</v>
      </c>
      <c r="S37" s="95">
        <f t="shared" si="15"/>
        <v>1.2166402093505996E-2</v>
      </c>
      <c r="T37" s="95">
        <f t="shared" si="15"/>
        <v>2.0464931853458983E-2</v>
      </c>
      <c r="U37" s="95">
        <f t="shared" si="15"/>
        <v>2.6864779091705388E-2</v>
      </c>
      <c r="V37" s="95">
        <f t="shared" si="15"/>
        <v>2.7510637344093598E-2</v>
      </c>
      <c r="W37" s="95">
        <f t="shared" si="15"/>
        <v>3.0636949300836321E-2</v>
      </c>
      <c r="X37" s="95">
        <f t="shared" si="15"/>
        <v>3.6994043744981234E-2</v>
      </c>
      <c r="Y37" s="95">
        <f t="shared" si="15"/>
        <v>3.5030584394837042E-2</v>
      </c>
      <c r="Z37" s="95">
        <f t="shared" si="15"/>
        <v>3.3315505923556095E-2</v>
      </c>
      <c r="AA37" s="95">
        <f t="shared" si="15"/>
        <v>3.0504074148364854E-2</v>
      </c>
      <c r="AB37" s="95">
        <f t="shared" si="15"/>
        <v>2.6471409081490017E-2</v>
      </c>
      <c r="AC37" s="95">
        <f t="shared" si="15"/>
        <v>2.5217442711142974E-2</v>
      </c>
      <c r="AD37" s="96">
        <f t="shared" si="15"/>
        <v>2.4291746113133769E-2</v>
      </c>
    </row>
    <row r="38" spans="2:30" x14ac:dyDescent="0.2">
      <c r="B38" s="62"/>
      <c r="C38" s="35" t="s">
        <v>39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5">
        <f t="shared" si="16"/>
        <v>0</v>
      </c>
      <c r="O38" s="95">
        <f t="shared" si="15"/>
        <v>0</v>
      </c>
      <c r="P38" s="95">
        <f t="shared" si="15"/>
        <v>0</v>
      </c>
      <c r="Q38" s="95">
        <f t="shared" si="15"/>
        <v>0</v>
      </c>
      <c r="R38" s="95">
        <f t="shared" si="15"/>
        <v>2.5421589507105633E-2</v>
      </c>
      <c r="S38" s="95">
        <f t="shared" si="15"/>
        <v>3.802000654220624E-2</v>
      </c>
      <c r="T38" s="95">
        <f t="shared" si="15"/>
        <v>4.7751507658070957E-2</v>
      </c>
      <c r="U38" s="95">
        <f t="shared" si="15"/>
        <v>5.3729558183410776E-2</v>
      </c>
      <c r="V38" s="95">
        <f t="shared" si="15"/>
        <v>5.3449238268524712E-2</v>
      </c>
      <c r="W38" s="95">
        <f t="shared" si="15"/>
        <v>4.5955423951254487E-2</v>
      </c>
      <c r="X38" s="95">
        <f t="shared" si="15"/>
        <v>4.8554682415287875E-2</v>
      </c>
      <c r="Y38" s="95">
        <f t="shared" si="15"/>
        <v>4.3371199726941097E-2</v>
      </c>
      <c r="Z38" s="95">
        <f t="shared" si="15"/>
        <v>4.6129162048000744E-2</v>
      </c>
      <c r="AA38" s="95">
        <f t="shared" si="15"/>
        <v>4.1328100459074965E-2</v>
      </c>
      <c r="AB38" s="95">
        <f t="shared" si="15"/>
        <v>3.8928542766897084E-2</v>
      </c>
      <c r="AC38" s="95">
        <f t="shared" si="15"/>
        <v>3.9627409974653242E-2</v>
      </c>
      <c r="AD38" s="96">
        <f t="shared" si="15"/>
        <v>3.8866793781014028E-2</v>
      </c>
    </row>
    <row r="39" spans="2:30" s="36" customFormat="1" x14ac:dyDescent="0.2">
      <c r="B39" s="77"/>
      <c r="C39" s="60" t="s">
        <v>34</v>
      </c>
      <c r="D39" s="90">
        <f>SUM(D25:D38)</f>
        <v>1</v>
      </c>
      <c r="E39" s="90">
        <f t="shared" ref="E39:AD39" si="17">SUM(E25:E38)</f>
        <v>1</v>
      </c>
      <c r="F39" s="90">
        <f t="shared" si="17"/>
        <v>1</v>
      </c>
      <c r="G39" s="90">
        <f t="shared" si="17"/>
        <v>1</v>
      </c>
      <c r="H39" s="90">
        <f t="shared" si="17"/>
        <v>1</v>
      </c>
      <c r="I39" s="90">
        <f t="shared" si="17"/>
        <v>1</v>
      </c>
      <c r="J39" s="90">
        <f t="shared" si="17"/>
        <v>1</v>
      </c>
      <c r="K39" s="90">
        <f t="shared" si="17"/>
        <v>1</v>
      </c>
      <c r="L39" s="90">
        <f t="shared" si="17"/>
        <v>1</v>
      </c>
      <c r="M39" s="90">
        <f t="shared" si="17"/>
        <v>1</v>
      </c>
      <c r="N39" s="90">
        <f t="shared" si="17"/>
        <v>1</v>
      </c>
      <c r="O39" s="90">
        <f t="shared" si="17"/>
        <v>1</v>
      </c>
      <c r="P39" s="90">
        <f t="shared" si="17"/>
        <v>1</v>
      </c>
      <c r="Q39" s="90">
        <f t="shared" si="17"/>
        <v>1.0000000000000002</v>
      </c>
      <c r="R39" s="90">
        <f t="shared" si="17"/>
        <v>0.99999999999999978</v>
      </c>
      <c r="S39" s="90">
        <f t="shared" si="17"/>
        <v>1.0000000000000002</v>
      </c>
      <c r="T39" s="90">
        <f t="shared" si="17"/>
        <v>1.0000000000000002</v>
      </c>
      <c r="U39" s="90">
        <f t="shared" si="17"/>
        <v>1</v>
      </c>
      <c r="V39" s="90">
        <f t="shared" si="17"/>
        <v>1.0000000000000002</v>
      </c>
      <c r="W39" s="90">
        <f t="shared" si="17"/>
        <v>0.99999999999999989</v>
      </c>
      <c r="X39" s="90">
        <f t="shared" si="17"/>
        <v>1</v>
      </c>
      <c r="Y39" s="90">
        <f t="shared" si="17"/>
        <v>1.0000000000000002</v>
      </c>
      <c r="Z39" s="90">
        <f t="shared" si="17"/>
        <v>0.99999999999999989</v>
      </c>
      <c r="AA39" s="90">
        <f t="shared" si="17"/>
        <v>0.99999999999999989</v>
      </c>
      <c r="AB39" s="90">
        <f t="shared" si="17"/>
        <v>1.0000000000000002</v>
      </c>
      <c r="AC39" s="90">
        <f t="shared" si="17"/>
        <v>0.99999999999999989</v>
      </c>
      <c r="AD39" s="91">
        <f t="shared" si="17"/>
        <v>1</v>
      </c>
    </row>
    <row r="40" spans="2:30" x14ac:dyDescent="0.2">
      <c r="B40" s="62"/>
      <c r="C40" s="33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80"/>
    </row>
    <row r="41" spans="2:30" x14ac:dyDescent="0.2">
      <c r="B41" s="62"/>
      <c r="C41" s="29"/>
      <c r="D41" s="79"/>
      <c r="E41" s="26" t="s">
        <v>50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80"/>
    </row>
    <row r="42" spans="2:30" x14ac:dyDescent="0.2">
      <c r="B42" s="62"/>
      <c r="C42" s="29"/>
      <c r="D42" s="92"/>
      <c r="E42" s="26" t="s">
        <v>48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80"/>
    </row>
    <row r="43" spans="2:30" ht="17" thickBot="1" x14ac:dyDescent="0.25">
      <c r="B43" s="93"/>
      <c r="C43" s="82"/>
      <c r="D43" s="94"/>
      <c r="E43" s="82" t="s">
        <v>51</v>
      </c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5"/>
    </row>
  </sheetData>
  <mergeCells count="3">
    <mergeCell ref="B23:AD23"/>
    <mergeCell ref="B2:AD2"/>
    <mergeCell ref="R3:AD3"/>
  </mergeCells>
  <pageMargins left="0.7" right="0.7" top="0.75" bottom="0.75" header="0.3" footer="0.3"/>
  <ignoredErrors>
    <ignoredError sqref="J19:L19 D19:I19 D39:E39 F39:L39 R19:V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showGridLines="0" workbookViewId="0">
      <selection activeCell="B2" sqref="B2"/>
    </sheetView>
  </sheetViews>
  <sheetFormatPr baseColWidth="10" defaultColWidth="8.83203125" defaultRowHeight="16" x14ac:dyDescent="0.2"/>
  <cols>
    <col min="1" max="1" width="1.6640625" style="29" bestFit="1" customWidth="1"/>
    <col min="2" max="2" width="20.6640625" style="34" customWidth="1"/>
    <col min="3" max="3" width="158.6640625" style="29" bestFit="1" customWidth="1"/>
    <col min="4" max="16384" width="8.83203125" style="29"/>
  </cols>
  <sheetData>
    <row r="1" spans="1:3" x14ac:dyDescent="0.2">
      <c r="A1" s="33" t="s">
        <v>40</v>
      </c>
    </row>
    <row r="2" spans="1:3" x14ac:dyDescent="0.2">
      <c r="A2" s="29">
        <v>1</v>
      </c>
      <c r="B2" s="29" t="s">
        <v>26</v>
      </c>
      <c r="C2" s="29" t="s">
        <v>27</v>
      </c>
    </row>
    <row r="3" spans="1:3" x14ac:dyDescent="0.2">
      <c r="A3" s="29">
        <v>2</v>
      </c>
      <c r="B3" s="29" t="s">
        <v>22</v>
      </c>
      <c r="C3" s="29" t="s">
        <v>29</v>
      </c>
    </row>
    <row r="4" spans="1:3" x14ac:dyDescent="0.2">
      <c r="A4" s="29">
        <v>3</v>
      </c>
      <c r="B4" s="29" t="s">
        <v>24</v>
      </c>
      <c r="C4" s="29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ProductionVolumeEstimation</vt:lpstr>
      <vt:lpstr>Product category allocation</vt:lpstr>
      <vt:lpstr>Reference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Hyunjoo Hong</dc:creator>
  <cp:lastModifiedBy>Bernd Nowack</cp:lastModifiedBy>
  <dcterms:created xsi:type="dcterms:W3CDTF">2021-12-29T16:28:58Z</dcterms:created>
  <dcterms:modified xsi:type="dcterms:W3CDTF">2022-08-31T04:29:55Z</dcterms:modified>
</cp:coreProperties>
</file>