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tables/table5.xml" ContentType="application/vnd.openxmlformats-officedocument.spreadsheetml.table+xml"/>
  <Override PartName="/xl/comments5.xml" ContentType="application/vnd.openxmlformats-officedocument.spreadsheetml.comments+xml"/>
  <Override PartName="/xl/tables/table6.xml" ContentType="application/vnd.openxmlformats-officedocument.spreadsheetml.table+xml"/>
  <Override PartName="/xl/comments6.xml" ContentType="application/vnd.openxmlformats-officedocument.spreadsheetml.comments+xml"/>
  <Override PartName="/xl/tables/table7.xml" ContentType="application/vnd.openxmlformats-officedocument.spreadsheetml.table+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bfuser\Desktop\"/>
    </mc:Choice>
  </mc:AlternateContent>
  <bookViews>
    <workbookView xWindow="-105" yWindow="-105" windowWidth="22155" windowHeight="11955"/>
  </bookViews>
  <sheets>
    <sheet name="Cover page" sheetId="12" r:id="rId1"/>
    <sheet name="Comments" sheetId="2" r:id="rId2"/>
    <sheet name="Decission Tree" sheetId="10" r:id="rId3"/>
    <sheet name="MasterSheet" sheetId="9" r:id="rId4"/>
    <sheet name="References" sheetId="1" r:id="rId5"/>
    <sheet name="Hazard statements (GHS)" sheetId="8" r:id="rId6"/>
    <sheet name="Phys Chem" sheetId="6" r:id="rId7"/>
    <sheet name="Fluorescence" sheetId="11" r:id="rId8"/>
    <sheet name="Ecotoxicology" sheetId="7" r:id="rId9"/>
    <sheet name="Human Toxicology" sheetId="4" r:id="rId10"/>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6" l="1"/>
  <c r="L5" i="6"/>
  <c r="L4" i="6"/>
  <c r="AV4" i="9"/>
  <c r="AV5" i="9"/>
  <c r="AV6" i="9"/>
  <c r="AV7" i="9"/>
  <c r="AV8" i="9"/>
  <c r="AV9" i="9"/>
  <c r="AV10" i="9"/>
  <c r="AV11" i="9"/>
  <c r="AV12" i="9"/>
  <c r="AV13" i="9"/>
  <c r="AV14" i="9"/>
  <c r="AV15" i="9"/>
  <c r="AV16" i="9"/>
  <c r="AV17" i="9"/>
  <c r="AV18" i="9"/>
  <c r="AV19" i="9"/>
  <c r="AV20" i="9"/>
  <c r="AV21" i="9"/>
  <c r="AV22" i="9"/>
  <c r="AV23" i="9"/>
  <c r="AV24" i="9"/>
  <c r="AV25" i="9"/>
  <c r="AV26" i="9"/>
  <c r="AV27" i="9"/>
  <c r="AV28" i="9"/>
  <c r="AV29" i="9"/>
  <c r="AV30" i="9"/>
  <c r="AV31" i="9"/>
  <c r="AV32" i="9"/>
  <c r="AV33" i="9"/>
  <c r="AV34" i="9"/>
  <c r="AV35" i="9"/>
  <c r="AV36" i="9"/>
  <c r="AV37" i="9"/>
  <c r="AV38" i="9"/>
  <c r="AV39" i="9"/>
  <c r="AV40" i="9"/>
  <c r="AV41" i="9"/>
  <c r="AV42" i="9"/>
  <c r="AV43" i="9"/>
  <c r="AV44" i="9"/>
  <c r="AV45" i="9"/>
  <c r="AV46" i="9"/>
  <c r="AV47" i="9"/>
  <c r="AV48" i="9"/>
  <c r="AV49" i="9"/>
  <c r="AV50" i="9"/>
  <c r="AV51" i="9"/>
  <c r="AV52" i="9"/>
  <c r="AV53" i="9"/>
  <c r="AV54" i="9"/>
  <c r="AV55" i="9"/>
  <c r="AV56" i="9"/>
  <c r="AV57" i="9"/>
  <c r="AV58" i="9"/>
  <c r="AV59" i="9"/>
  <c r="AV60" i="9"/>
  <c r="AV61" i="9"/>
  <c r="AV62" i="9"/>
  <c r="AV63" i="9"/>
  <c r="AV64" i="9"/>
  <c r="AV65" i="9"/>
  <c r="AV66" i="9"/>
  <c r="AV67" i="9"/>
  <c r="AV68" i="9"/>
  <c r="AV69" i="9"/>
  <c r="AV70" i="9"/>
  <c r="AV71" i="9"/>
  <c r="AV72" i="9"/>
  <c r="AV73" i="9"/>
  <c r="AV74" i="9"/>
  <c r="AV75" i="9"/>
  <c r="AV76" i="9"/>
  <c r="AV77" i="9"/>
  <c r="AV78" i="9"/>
  <c r="AV79" i="9"/>
  <c r="AV80" i="9"/>
  <c r="AV81" i="9"/>
  <c r="AV82" i="9"/>
  <c r="AV83" i="9"/>
  <c r="AV84" i="9"/>
  <c r="AV85" i="9"/>
  <c r="AV86" i="9"/>
  <c r="AV87" i="9"/>
  <c r="AV88" i="9"/>
  <c r="AV89" i="9"/>
  <c r="AV90" i="9"/>
  <c r="AV91" i="9"/>
  <c r="AV92" i="9"/>
  <c r="B88" i="8"/>
  <c r="B89" i="8"/>
  <c r="B90" i="8"/>
  <c r="B91" i="8"/>
  <c r="B92" i="8"/>
  <c r="B93" i="8"/>
  <c r="B94" i="8"/>
  <c r="B95" i="8"/>
  <c r="B96" i="8"/>
  <c r="B97" i="8"/>
  <c r="B98" i="8"/>
  <c r="B99" i="8"/>
  <c r="B100" i="8"/>
  <c r="B74" i="8"/>
  <c r="B49" i="8"/>
  <c r="E75" i="8"/>
  <c r="N75" i="9" s="1"/>
  <c r="E73" i="8"/>
  <c r="E72" i="8"/>
  <c r="E70" i="8"/>
  <c r="N70" i="9" s="1"/>
  <c r="E69" i="8"/>
  <c r="E68" i="8"/>
  <c r="E67" i="8"/>
  <c r="N67" i="9" s="1"/>
  <c r="G65" i="8"/>
  <c r="F65" i="8"/>
  <c r="O65" i="9" s="1"/>
  <c r="G64" i="8"/>
  <c r="F64" i="8"/>
  <c r="O64" i="9" s="1"/>
  <c r="G63" i="8"/>
  <c r="F63" i="8"/>
  <c r="O63" i="9" s="1"/>
  <c r="G62" i="8"/>
  <c r="F62" i="8"/>
  <c r="O62" i="9" s="1"/>
  <c r="G61" i="8"/>
  <c r="F61" i="8"/>
  <c r="O61" i="9" s="1"/>
  <c r="G60" i="8"/>
  <c r="F60" i="8"/>
  <c r="O60" i="9" s="1"/>
  <c r="G59" i="8"/>
  <c r="F59" i="8"/>
  <c r="O59" i="9" s="1"/>
  <c r="G58" i="8"/>
  <c r="F58" i="8"/>
  <c r="O58" i="9" s="1"/>
  <c r="G57" i="8"/>
  <c r="F57" i="8"/>
  <c r="O57" i="9" s="1"/>
  <c r="E65" i="8"/>
  <c r="E64" i="8"/>
  <c r="E63" i="8"/>
  <c r="N63" i="9" s="1"/>
  <c r="E62" i="8"/>
  <c r="N62" i="9" s="1"/>
  <c r="E61" i="8"/>
  <c r="E60" i="8"/>
  <c r="E59" i="8"/>
  <c r="E58" i="8"/>
  <c r="N58" i="9" s="1"/>
  <c r="E57" i="8"/>
  <c r="G55" i="8"/>
  <c r="G54" i="8"/>
  <c r="G53" i="8"/>
  <c r="G52" i="8"/>
  <c r="G51" i="8"/>
  <c r="F55" i="8"/>
  <c r="O55" i="9" s="1"/>
  <c r="F54" i="8"/>
  <c r="O54" i="9" s="1"/>
  <c r="F53" i="8"/>
  <c r="F52" i="8"/>
  <c r="O52" i="9" s="1"/>
  <c r="F51" i="8"/>
  <c r="O51" i="9" s="1"/>
  <c r="E55" i="8"/>
  <c r="N55" i="9" s="1"/>
  <c r="E54" i="8"/>
  <c r="E53" i="8"/>
  <c r="E52" i="8"/>
  <c r="N52" i="9" s="1"/>
  <c r="E51" i="8"/>
  <c r="N51" i="9" s="1"/>
  <c r="G45" i="8"/>
  <c r="G44" i="8"/>
  <c r="F45" i="8"/>
  <c r="O45" i="9" s="1"/>
  <c r="F44" i="8"/>
  <c r="O44" i="9" s="1"/>
  <c r="E45" i="8"/>
  <c r="E44" i="8"/>
  <c r="G42" i="8"/>
  <c r="G41" i="8"/>
  <c r="G40" i="8"/>
  <c r="F42" i="8"/>
  <c r="F41" i="8"/>
  <c r="F40" i="8"/>
  <c r="O40" i="9" s="1"/>
  <c r="E42" i="8"/>
  <c r="E41" i="8"/>
  <c r="N41" i="9" s="1"/>
  <c r="E40" i="8"/>
  <c r="N40" i="9" s="1"/>
  <c r="B85" i="6"/>
  <c r="B86" i="6"/>
  <c r="B87" i="6"/>
  <c r="B88" i="6"/>
  <c r="B89" i="6"/>
  <c r="B90" i="6"/>
  <c r="B91" i="6"/>
  <c r="B92" i="6"/>
  <c r="B93" i="6"/>
  <c r="B94" i="6"/>
  <c r="B95" i="6"/>
  <c r="B96" i="6"/>
  <c r="B97" i="6"/>
  <c r="B98" i="6"/>
  <c r="B99" i="6"/>
  <c r="B4" i="6"/>
  <c r="B82" i="8"/>
  <c r="B83" i="8"/>
  <c r="B84" i="8"/>
  <c r="B85" i="8"/>
  <c r="B86" i="8"/>
  <c r="B87" i="8"/>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C257" i="11"/>
  <c r="C258" i="11"/>
  <c r="C259" i="11"/>
  <c r="C260" i="11"/>
  <c r="C261" i="11"/>
  <c r="C262" i="11"/>
  <c r="C263" i="11"/>
  <c r="C264" i="11"/>
  <c r="C265" i="11"/>
  <c r="C266" i="11"/>
  <c r="C267" i="11"/>
  <c r="C268" i="11"/>
  <c r="C269" i="11"/>
  <c r="C270" i="11"/>
  <c r="C271" i="11"/>
  <c r="C272" i="11"/>
  <c r="C273" i="11"/>
  <c r="C274" i="11"/>
  <c r="C275" i="11"/>
  <c r="C276" i="11"/>
  <c r="C277" i="11"/>
  <c r="C278" i="11"/>
  <c r="C279" i="11"/>
  <c r="C280" i="11"/>
  <c r="C281" i="11"/>
  <c r="C282" i="11"/>
  <c r="C283" i="11"/>
  <c r="C284" i="11"/>
  <c r="C285" i="11"/>
  <c r="C286" i="11"/>
  <c r="C287" i="11"/>
  <c r="C288" i="11"/>
  <c r="C289" i="11"/>
  <c r="C290" i="11"/>
  <c r="C291" i="11"/>
  <c r="C292" i="11"/>
  <c r="C293" i="11"/>
  <c r="C294" i="11"/>
  <c r="C295" i="11"/>
  <c r="C296" i="11"/>
  <c r="C297" i="11"/>
  <c r="C298" i="11"/>
  <c r="C299" i="11"/>
  <c r="C300" i="11"/>
  <c r="C301" i="11"/>
  <c r="C302" i="11"/>
  <c r="C303" i="11"/>
  <c r="C304" i="11"/>
  <c r="C305" i="11"/>
  <c r="C306" i="11"/>
  <c r="D31" i="9"/>
  <c r="D4" i="9"/>
  <c r="D6" i="9"/>
  <c r="D8" i="9"/>
  <c r="D9" i="9"/>
  <c r="D22" i="9"/>
  <c r="D34" i="9"/>
  <c r="D47" i="9"/>
  <c r="D12" i="9"/>
  <c r="D13" i="9"/>
  <c r="D14" i="9"/>
  <c r="D15" i="9"/>
  <c r="D16" i="9"/>
  <c r="D10" i="9"/>
  <c r="D11" i="9"/>
  <c r="D48" i="9"/>
  <c r="D23" i="9"/>
  <c r="D71" i="9"/>
  <c r="D32" i="9"/>
  <c r="D21" i="9"/>
  <c r="D24" i="9"/>
  <c r="D25" i="9"/>
  <c r="D19" i="9"/>
  <c r="D27" i="9"/>
  <c r="D33" i="9"/>
  <c r="D74" i="9"/>
  <c r="D7" i="9"/>
  <c r="D17" i="9"/>
  <c r="D18" i="9"/>
  <c r="D28" i="9"/>
  <c r="D30" i="9"/>
  <c r="D35" i="9"/>
  <c r="D36" i="9"/>
  <c r="D29" i="9"/>
  <c r="D38" i="9"/>
  <c r="D39" i="9"/>
  <c r="D40" i="9"/>
  <c r="D41" i="9"/>
  <c r="D42" i="9"/>
  <c r="D43" i="9"/>
  <c r="D44" i="9"/>
  <c r="D45" i="9"/>
  <c r="D46" i="9"/>
  <c r="D5" i="9"/>
  <c r="D26" i="9"/>
  <c r="D49" i="9"/>
  <c r="D50" i="9"/>
  <c r="D51" i="9"/>
  <c r="D52" i="9"/>
  <c r="D53" i="9"/>
  <c r="D54" i="9"/>
  <c r="D55" i="9"/>
  <c r="D56" i="9"/>
  <c r="D57" i="9"/>
  <c r="D58" i="9"/>
  <c r="D59" i="9"/>
  <c r="D60" i="9"/>
  <c r="D61" i="9"/>
  <c r="D62" i="9"/>
  <c r="D63" i="9"/>
  <c r="D64" i="9"/>
  <c r="D65" i="9"/>
  <c r="D66" i="9"/>
  <c r="D67" i="9"/>
  <c r="D68" i="9"/>
  <c r="D69" i="9"/>
  <c r="D70" i="9"/>
  <c r="D20" i="9"/>
  <c r="D72" i="9"/>
  <c r="D73" i="9"/>
  <c r="D37" i="9"/>
  <c r="D75" i="9"/>
  <c r="D76" i="9"/>
  <c r="D77" i="9"/>
  <c r="D78" i="9"/>
  <c r="D79" i="9"/>
  <c r="D80" i="9"/>
  <c r="D81" i="9"/>
  <c r="D82" i="9"/>
  <c r="D83" i="9"/>
  <c r="D84" i="9"/>
  <c r="D85" i="9"/>
  <c r="D86" i="9"/>
  <c r="D87" i="9"/>
  <c r="D88" i="9"/>
  <c r="D89" i="9"/>
  <c r="D90" i="9"/>
  <c r="D91" i="9"/>
  <c r="D92" i="9"/>
  <c r="K31" i="9"/>
  <c r="K4" i="9"/>
  <c r="K6" i="9"/>
  <c r="K8" i="9"/>
  <c r="K9" i="9"/>
  <c r="K22" i="9"/>
  <c r="K34" i="9"/>
  <c r="K47" i="9"/>
  <c r="K12" i="9"/>
  <c r="K13" i="9"/>
  <c r="K14" i="9"/>
  <c r="K15" i="9"/>
  <c r="K16" i="9"/>
  <c r="K10" i="9"/>
  <c r="K11" i="9"/>
  <c r="K48" i="9"/>
  <c r="K23" i="9"/>
  <c r="K71" i="9"/>
  <c r="K32" i="9"/>
  <c r="K21" i="9"/>
  <c r="K24" i="9"/>
  <c r="K25" i="9"/>
  <c r="K19" i="9"/>
  <c r="K27" i="9"/>
  <c r="K33" i="9"/>
  <c r="K74" i="9"/>
  <c r="K7" i="9"/>
  <c r="K17" i="9"/>
  <c r="K18" i="9"/>
  <c r="K28" i="9"/>
  <c r="K30" i="9"/>
  <c r="K35" i="9"/>
  <c r="K36" i="9"/>
  <c r="K29" i="9"/>
  <c r="K38" i="9"/>
  <c r="K39" i="9"/>
  <c r="K40" i="9"/>
  <c r="K41" i="9"/>
  <c r="K42" i="9"/>
  <c r="K43" i="9"/>
  <c r="K44" i="9"/>
  <c r="K45" i="9"/>
  <c r="K46" i="9"/>
  <c r="K5" i="9"/>
  <c r="K26" i="9"/>
  <c r="K49" i="9"/>
  <c r="K50" i="9"/>
  <c r="K51" i="9"/>
  <c r="K52" i="9"/>
  <c r="K53" i="9"/>
  <c r="K54" i="9"/>
  <c r="K55" i="9"/>
  <c r="K56" i="9"/>
  <c r="K57" i="9"/>
  <c r="K58" i="9"/>
  <c r="K59" i="9"/>
  <c r="K60" i="9"/>
  <c r="K61" i="9"/>
  <c r="K62" i="9"/>
  <c r="K63" i="9"/>
  <c r="K64" i="9"/>
  <c r="K65" i="9"/>
  <c r="K66" i="9"/>
  <c r="K67" i="9"/>
  <c r="K68" i="9"/>
  <c r="K69" i="9"/>
  <c r="K70" i="9"/>
  <c r="K20" i="9"/>
  <c r="K72" i="9"/>
  <c r="K73" i="9"/>
  <c r="K37" i="9"/>
  <c r="K75" i="9"/>
  <c r="K76" i="9"/>
  <c r="K77" i="9"/>
  <c r="K78" i="9"/>
  <c r="K79" i="9"/>
  <c r="K80" i="9"/>
  <c r="K81" i="9"/>
  <c r="K82" i="9"/>
  <c r="K83" i="9"/>
  <c r="K84" i="9"/>
  <c r="K85" i="9"/>
  <c r="K86" i="9"/>
  <c r="K87" i="9"/>
  <c r="K88" i="9"/>
  <c r="K89" i="9"/>
  <c r="K90" i="9"/>
  <c r="K91" i="9"/>
  <c r="K92" i="9"/>
  <c r="J31" i="9"/>
  <c r="J4" i="9"/>
  <c r="J6" i="9"/>
  <c r="J8" i="9"/>
  <c r="J9" i="9"/>
  <c r="J22" i="9"/>
  <c r="J34" i="9"/>
  <c r="J47" i="9"/>
  <c r="J12" i="9"/>
  <c r="J13" i="9"/>
  <c r="J14" i="9"/>
  <c r="J15" i="9"/>
  <c r="J16" i="9"/>
  <c r="J10" i="9"/>
  <c r="J11" i="9"/>
  <c r="J48" i="9"/>
  <c r="J23" i="9"/>
  <c r="J71" i="9"/>
  <c r="J32" i="9"/>
  <c r="J21" i="9"/>
  <c r="J24" i="9"/>
  <c r="J25" i="9"/>
  <c r="J19" i="9"/>
  <c r="J27" i="9"/>
  <c r="J33" i="9"/>
  <c r="J74" i="9"/>
  <c r="J7" i="9"/>
  <c r="J17" i="9"/>
  <c r="J18" i="9"/>
  <c r="J28" i="9"/>
  <c r="J30" i="9"/>
  <c r="J35" i="9"/>
  <c r="J36" i="9"/>
  <c r="J29" i="9"/>
  <c r="J38" i="9"/>
  <c r="J39" i="9"/>
  <c r="J40" i="9"/>
  <c r="J41" i="9"/>
  <c r="J42" i="9"/>
  <c r="J43" i="9"/>
  <c r="J44" i="9"/>
  <c r="J45" i="9"/>
  <c r="J46" i="9"/>
  <c r="J5" i="9"/>
  <c r="J26" i="9"/>
  <c r="J49" i="9"/>
  <c r="J50" i="9"/>
  <c r="J51" i="9"/>
  <c r="J52" i="9"/>
  <c r="J53" i="9"/>
  <c r="J54" i="9"/>
  <c r="J55" i="9"/>
  <c r="J56" i="9"/>
  <c r="J57" i="9"/>
  <c r="J58" i="9"/>
  <c r="J59" i="9"/>
  <c r="J60" i="9"/>
  <c r="J61" i="9"/>
  <c r="J62" i="9"/>
  <c r="J63" i="9"/>
  <c r="J64" i="9"/>
  <c r="J65" i="9"/>
  <c r="J66" i="9"/>
  <c r="J67" i="9"/>
  <c r="J68" i="9"/>
  <c r="J69" i="9"/>
  <c r="J70" i="9"/>
  <c r="J20" i="9"/>
  <c r="J72" i="9"/>
  <c r="J73" i="9"/>
  <c r="J37" i="9"/>
  <c r="J75" i="9"/>
  <c r="J76" i="9"/>
  <c r="J77" i="9"/>
  <c r="J78" i="9"/>
  <c r="J79" i="9"/>
  <c r="J80" i="9"/>
  <c r="J81" i="9"/>
  <c r="J82" i="9"/>
  <c r="J83" i="9"/>
  <c r="J84" i="9"/>
  <c r="J85" i="9"/>
  <c r="J86" i="9"/>
  <c r="J87" i="9"/>
  <c r="J88" i="9"/>
  <c r="J89" i="9"/>
  <c r="J90" i="9"/>
  <c r="J91" i="9"/>
  <c r="J92" i="9"/>
  <c r="I31" i="9"/>
  <c r="I4" i="9"/>
  <c r="I6" i="9"/>
  <c r="I8" i="9"/>
  <c r="I9" i="9"/>
  <c r="I22" i="9"/>
  <c r="I34" i="9"/>
  <c r="I47" i="9"/>
  <c r="I12" i="9"/>
  <c r="I13" i="9"/>
  <c r="I14" i="9"/>
  <c r="I15" i="9"/>
  <c r="I16" i="9"/>
  <c r="I10" i="9"/>
  <c r="I11" i="9"/>
  <c r="I48" i="9"/>
  <c r="I23" i="9"/>
  <c r="I71" i="9"/>
  <c r="I32" i="9"/>
  <c r="I21" i="9"/>
  <c r="I24" i="9"/>
  <c r="I25" i="9"/>
  <c r="I19" i="9"/>
  <c r="I27" i="9"/>
  <c r="I33" i="9"/>
  <c r="I74" i="9"/>
  <c r="I7" i="9"/>
  <c r="I17" i="9"/>
  <c r="I18" i="9"/>
  <c r="I28" i="9"/>
  <c r="I30" i="9"/>
  <c r="I35" i="9"/>
  <c r="I36" i="9"/>
  <c r="I29" i="9"/>
  <c r="I38" i="9"/>
  <c r="I39" i="9"/>
  <c r="I40" i="9"/>
  <c r="I41" i="9"/>
  <c r="I42" i="9"/>
  <c r="I43" i="9"/>
  <c r="I44" i="9"/>
  <c r="I45" i="9"/>
  <c r="I46" i="9"/>
  <c r="I5" i="9"/>
  <c r="I26" i="9"/>
  <c r="I49" i="9"/>
  <c r="I50" i="9"/>
  <c r="I51" i="9"/>
  <c r="I52" i="9"/>
  <c r="I53" i="9"/>
  <c r="I54" i="9"/>
  <c r="I55" i="9"/>
  <c r="I56" i="9"/>
  <c r="I57" i="9"/>
  <c r="I58" i="9"/>
  <c r="I59" i="9"/>
  <c r="I60" i="9"/>
  <c r="I61" i="9"/>
  <c r="I62" i="9"/>
  <c r="I63" i="9"/>
  <c r="I64" i="9"/>
  <c r="I65" i="9"/>
  <c r="I66" i="9"/>
  <c r="I67" i="9"/>
  <c r="I68" i="9"/>
  <c r="I69" i="9"/>
  <c r="I70" i="9"/>
  <c r="I20" i="9"/>
  <c r="I72" i="9"/>
  <c r="I73" i="9"/>
  <c r="I37" i="9"/>
  <c r="I75" i="9"/>
  <c r="I76" i="9"/>
  <c r="I77" i="9"/>
  <c r="I78" i="9"/>
  <c r="I79" i="9"/>
  <c r="I80" i="9"/>
  <c r="I81" i="9"/>
  <c r="I82" i="9"/>
  <c r="I83" i="9"/>
  <c r="I84" i="9"/>
  <c r="I85" i="9"/>
  <c r="I86" i="9"/>
  <c r="I87" i="9"/>
  <c r="I88" i="9"/>
  <c r="I89" i="9"/>
  <c r="I90" i="9"/>
  <c r="I91" i="9"/>
  <c r="I92" i="9"/>
  <c r="H31" i="9"/>
  <c r="H4" i="9"/>
  <c r="H6" i="9"/>
  <c r="H8" i="9"/>
  <c r="H9" i="9"/>
  <c r="H22" i="9"/>
  <c r="H34" i="9"/>
  <c r="H47" i="9"/>
  <c r="H12" i="9"/>
  <c r="H13" i="9"/>
  <c r="H14" i="9"/>
  <c r="H15" i="9"/>
  <c r="H16" i="9"/>
  <c r="H10" i="9"/>
  <c r="H11" i="9"/>
  <c r="H48" i="9"/>
  <c r="H23" i="9"/>
  <c r="H71" i="9"/>
  <c r="H32" i="9"/>
  <c r="H21" i="9"/>
  <c r="H24" i="9"/>
  <c r="H25" i="9"/>
  <c r="H19" i="9"/>
  <c r="H27" i="9"/>
  <c r="H33" i="9"/>
  <c r="H74" i="9"/>
  <c r="H7" i="9"/>
  <c r="H17" i="9"/>
  <c r="H18" i="9"/>
  <c r="H28" i="9"/>
  <c r="H30" i="9"/>
  <c r="H35" i="9"/>
  <c r="H36" i="9"/>
  <c r="H29" i="9"/>
  <c r="H38" i="9"/>
  <c r="H39" i="9"/>
  <c r="H40" i="9"/>
  <c r="H41" i="9"/>
  <c r="H42" i="9"/>
  <c r="H43" i="9"/>
  <c r="H44" i="9"/>
  <c r="H45" i="9"/>
  <c r="H46" i="9"/>
  <c r="H5" i="9"/>
  <c r="H26" i="9"/>
  <c r="H49" i="9"/>
  <c r="H50" i="9"/>
  <c r="H51" i="9"/>
  <c r="H52" i="9"/>
  <c r="H53" i="9"/>
  <c r="H54" i="9"/>
  <c r="H55" i="9"/>
  <c r="H56" i="9"/>
  <c r="H57" i="9"/>
  <c r="H58" i="9"/>
  <c r="H59" i="9"/>
  <c r="H60" i="9"/>
  <c r="H61" i="9"/>
  <c r="H62" i="9"/>
  <c r="H63" i="9"/>
  <c r="H64" i="9"/>
  <c r="H65" i="9"/>
  <c r="H66" i="9"/>
  <c r="H67" i="9"/>
  <c r="H68" i="9"/>
  <c r="H69" i="9"/>
  <c r="H70" i="9"/>
  <c r="H20" i="9"/>
  <c r="H72" i="9"/>
  <c r="H73" i="9"/>
  <c r="H37" i="9"/>
  <c r="H75" i="9"/>
  <c r="H76" i="9"/>
  <c r="H77" i="9"/>
  <c r="H78" i="9"/>
  <c r="H79" i="9"/>
  <c r="H80" i="9"/>
  <c r="H81" i="9"/>
  <c r="H82" i="9"/>
  <c r="H83" i="9"/>
  <c r="H84" i="9"/>
  <c r="H85" i="9"/>
  <c r="H86" i="9"/>
  <c r="H87" i="9"/>
  <c r="H88" i="9"/>
  <c r="H89" i="9"/>
  <c r="H90" i="9"/>
  <c r="H91" i="9"/>
  <c r="H92" i="9"/>
  <c r="G31" i="9"/>
  <c r="G4" i="9"/>
  <c r="G6" i="9"/>
  <c r="G8" i="9"/>
  <c r="G9" i="9"/>
  <c r="G22" i="9"/>
  <c r="G34" i="9"/>
  <c r="G47" i="9"/>
  <c r="G12" i="9"/>
  <c r="G13" i="9"/>
  <c r="G14" i="9"/>
  <c r="G15" i="9"/>
  <c r="G16" i="9"/>
  <c r="G10" i="9"/>
  <c r="G11" i="9"/>
  <c r="G48" i="9"/>
  <c r="G23" i="9"/>
  <c r="G71" i="9"/>
  <c r="G32" i="9"/>
  <c r="G21" i="9"/>
  <c r="G24" i="9"/>
  <c r="G25" i="9"/>
  <c r="G19" i="9"/>
  <c r="G27" i="9"/>
  <c r="G33" i="9"/>
  <c r="G74" i="9"/>
  <c r="G7" i="9"/>
  <c r="G17" i="9"/>
  <c r="G18" i="9"/>
  <c r="G28" i="9"/>
  <c r="G30" i="9"/>
  <c r="G35" i="9"/>
  <c r="G36" i="9"/>
  <c r="G29" i="9"/>
  <c r="G38" i="9"/>
  <c r="G39" i="9"/>
  <c r="G40" i="9"/>
  <c r="G41" i="9"/>
  <c r="G42" i="9"/>
  <c r="G43" i="9"/>
  <c r="G44" i="9"/>
  <c r="G45" i="9"/>
  <c r="G46" i="9"/>
  <c r="G5" i="9"/>
  <c r="G26" i="9"/>
  <c r="G49" i="9"/>
  <c r="G50" i="9"/>
  <c r="G51" i="9"/>
  <c r="G52" i="9"/>
  <c r="G53" i="9"/>
  <c r="G54" i="9"/>
  <c r="G55" i="9"/>
  <c r="G56" i="9"/>
  <c r="G57" i="9"/>
  <c r="G58" i="9"/>
  <c r="G59" i="9"/>
  <c r="G60" i="9"/>
  <c r="G61" i="9"/>
  <c r="G62" i="9"/>
  <c r="G63" i="9"/>
  <c r="G64" i="9"/>
  <c r="G65" i="9"/>
  <c r="G66" i="9"/>
  <c r="G67" i="9"/>
  <c r="G68" i="9"/>
  <c r="G69" i="9"/>
  <c r="G70" i="9"/>
  <c r="G20" i="9"/>
  <c r="G72" i="9"/>
  <c r="G73" i="9"/>
  <c r="G37" i="9"/>
  <c r="G75" i="9"/>
  <c r="G76" i="9"/>
  <c r="G77" i="9"/>
  <c r="G78" i="9"/>
  <c r="G79" i="9"/>
  <c r="G80" i="9"/>
  <c r="G81" i="9"/>
  <c r="G82" i="9"/>
  <c r="G83" i="9"/>
  <c r="G84" i="9"/>
  <c r="G85" i="9"/>
  <c r="G86" i="9"/>
  <c r="G87" i="9"/>
  <c r="G88" i="9"/>
  <c r="G89" i="9"/>
  <c r="G90" i="9"/>
  <c r="G91" i="9"/>
  <c r="G92" i="9"/>
  <c r="F31" i="9"/>
  <c r="F4" i="9"/>
  <c r="F6" i="9"/>
  <c r="F8" i="9"/>
  <c r="F9" i="9"/>
  <c r="F22" i="9"/>
  <c r="F34" i="9"/>
  <c r="F47" i="9"/>
  <c r="F12" i="9"/>
  <c r="F13" i="9"/>
  <c r="F14" i="9"/>
  <c r="F15" i="9"/>
  <c r="F16" i="9"/>
  <c r="F10" i="9"/>
  <c r="F11" i="9"/>
  <c r="F48" i="9"/>
  <c r="F23" i="9"/>
  <c r="F71" i="9"/>
  <c r="F32" i="9"/>
  <c r="F21" i="9"/>
  <c r="F24" i="9"/>
  <c r="F25" i="9"/>
  <c r="F19" i="9"/>
  <c r="F27" i="9"/>
  <c r="F33" i="9"/>
  <c r="F74" i="9"/>
  <c r="F7" i="9"/>
  <c r="F17" i="9"/>
  <c r="F18" i="9"/>
  <c r="F28" i="9"/>
  <c r="F30" i="9"/>
  <c r="F35" i="9"/>
  <c r="F36" i="9"/>
  <c r="F29" i="9"/>
  <c r="F38" i="9"/>
  <c r="F39" i="9"/>
  <c r="F40" i="9"/>
  <c r="F41" i="9"/>
  <c r="F42" i="9"/>
  <c r="F43" i="9"/>
  <c r="F44" i="9"/>
  <c r="F45" i="9"/>
  <c r="F46" i="9"/>
  <c r="F5" i="9"/>
  <c r="F26" i="9"/>
  <c r="F49" i="9"/>
  <c r="F50" i="9"/>
  <c r="F51" i="9"/>
  <c r="F52" i="9"/>
  <c r="F53" i="9"/>
  <c r="F54" i="9"/>
  <c r="F55" i="9"/>
  <c r="F56" i="9"/>
  <c r="F57" i="9"/>
  <c r="F58" i="9"/>
  <c r="F59" i="9"/>
  <c r="F60" i="9"/>
  <c r="F61" i="9"/>
  <c r="F62" i="9"/>
  <c r="F63" i="9"/>
  <c r="F64" i="9"/>
  <c r="F65" i="9"/>
  <c r="F66" i="9"/>
  <c r="F67" i="9"/>
  <c r="F68" i="9"/>
  <c r="F69" i="9"/>
  <c r="F70" i="9"/>
  <c r="F20" i="9"/>
  <c r="F72" i="9"/>
  <c r="F73" i="9"/>
  <c r="F37" i="9"/>
  <c r="F75" i="9"/>
  <c r="F76" i="9"/>
  <c r="F77" i="9"/>
  <c r="F78" i="9"/>
  <c r="F79" i="9"/>
  <c r="F80" i="9"/>
  <c r="F81" i="9"/>
  <c r="F82" i="9"/>
  <c r="F83" i="9"/>
  <c r="F84" i="9"/>
  <c r="F85" i="9"/>
  <c r="F86" i="9"/>
  <c r="F87" i="9"/>
  <c r="F88" i="9"/>
  <c r="F89" i="9"/>
  <c r="F90" i="9"/>
  <c r="F91" i="9"/>
  <c r="F92" i="9"/>
  <c r="E31" i="9"/>
  <c r="E4" i="9"/>
  <c r="E6" i="9"/>
  <c r="E8" i="9"/>
  <c r="E9" i="9"/>
  <c r="E22" i="9"/>
  <c r="E34" i="9"/>
  <c r="E47" i="9"/>
  <c r="E12" i="9"/>
  <c r="E13" i="9"/>
  <c r="E14" i="9"/>
  <c r="E15" i="9"/>
  <c r="E16" i="9"/>
  <c r="E10" i="9"/>
  <c r="E11" i="9"/>
  <c r="E48" i="9"/>
  <c r="E23" i="9"/>
  <c r="E71" i="9"/>
  <c r="E32" i="9"/>
  <c r="E21" i="9"/>
  <c r="E24" i="9"/>
  <c r="E25" i="9"/>
  <c r="E19" i="9"/>
  <c r="E27" i="9"/>
  <c r="E33" i="9"/>
  <c r="E74" i="9"/>
  <c r="E7" i="9"/>
  <c r="E17" i="9"/>
  <c r="E18" i="9"/>
  <c r="E28" i="9"/>
  <c r="E30" i="9"/>
  <c r="E35" i="9"/>
  <c r="E36" i="9"/>
  <c r="E29" i="9"/>
  <c r="E38" i="9"/>
  <c r="E39" i="9"/>
  <c r="E40" i="9"/>
  <c r="E41" i="9"/>
  <c r="E42" i="9"/>
  <c r="E43" i="9"/>
  <c r="E44" i="9"/>
  <c r="E45" i="9"/>
  <c r="E46" i="9"/>
  <c r="E5" i="9"/>
  <c r="E26" i="9"/>
  <c r="E49" i="9"/>
  <c r="E50" i="9"/>
  <c r="E51" i="9"/>
  <c r="E52" i="9"/>
  <c r="E53" i="9"/>
  <c r="E54" i="9"/>
  <c r="E55" i="9"/>
  <c r="E56" i="9"/>
  <c r="E57" i="9"/>
  <c r="E58" i="9"/>
  <c r="E59" i="9"/>
  <c r="E60" i="9"/>
  <c r="E61" i="9"/>
  <c r="E62" i="9"/>
  <c r="E63" i="9"/>
  <c r="E64" i="9"/>
  <c r="E65" i="9"/>
  <c r="E66" i="9"/>
  <c r="E67" i="9"/>
  <c r="E68" i="9"/>
  <c r="E69" i="9"/>
  <c r="E70" i="9"/>
  <c r="E20" i="9"/>
  <c r="E72" i="9"/>
  <c r="E73" i="9"/>
  <c r="E37" i="9"/>
  <c r="E75" i="9"/>
  <c r="E76" i="9"/>
  <c r="E77" i="9"/>
  <c r="E78" i="9"/>
  <c r="E79" i="9"/>
  <c r="E80" i="9"/>
  <c r="E81" i="9"/>
  <c r="E82" i="9"/>
  <c r="E83" i="9"/>
  <c r="E84" i="9"/>
  <c r="E85" i="9"/>
  <c r="E86" i="9"/>
  <c r="E87" i="9"/>
  <c r="E88" i="9"/>
  <c r="E89" i="9"/>
  <c r="E90" i="9"/>
  <c r="E91" i="9"/>
  <c r="E92" i="9"/>
  <c r="B16" i="6"/>
  <c r="B15" i="6"/>
  <c r="B14" i="6"/>
  <c r="B13" i="6"/>
  <c r="AR38" i="9"/>
  <c r="AR16" i="9"/>
  <c r="AN16" i="9"/>
  <c r="AJ16" i="9"/>
  <c r="AF16" i="9"/>
  <c r="AR14" i="9"/>
  <c r="AN14" i="9"/>
  <c r="O31" i="9"/>
  <c r="O4" i="9"/>
  <c r="O6" i="9"/>
  <c r="O8" i="9"/>
  <c r="O9" i="9"/>
  <c r="O22" i="9"/>
  <c r="O34" i="9"/>
  <c r="O47" i="9"/>
  <c r="O12" i="9"/>
  <c r="O13" i="9"/>
  <c r="O14" i="9"/>
  <c r="O15" i="9"/>
  <c r="O16" i="9"/>
  <c r="O10" i="9"/>
  <c r="O11" i="9"/>
  <c r="O48" i="9"/>
  <c r="O23" i="9"/>
  <c r="O71" i="9"/>
  <c r="O32" i="9"/>
  <c r="O21" i="9"/>
  <c r="O24" i="9"/>
  <c r="O25" i="9"/>
  <c r="O19" i="9"/>
  <c r="O27" i="9"/>
  <c r="O33" i="9"/>
  <c r="O74" i="9"/>
  <c r="O7" i="9"/>
  <c r="O17" i="9"/>
  <c r="O18" i="9"/>
  <c r="O28" i="9"/>
  <c r="O30" i="9"/>
  <c r="O35" i="9"/>
  <c r="O36" i="9"/>
  <c r="O29" i="9"/>
  <c r="O38" i="9"/>
  <c r="O39" i="9"/>
  <c r="O41" i="9"/>
  <c r="O42" i="9"/>
  <c r="O43" i="9"/>
  <c r="O46" i="9"/>
  <c r="O5" i="9"/>
  <c r="O26" i="9"/>
  <c r="O49" i="9"/>
  <c r="O50" i="9"/>
  <c r="O53" i="9"/>
  <c r="O56" i="9"/>
  <c r="O66" i="9"/>
  <c r="O67" i="9"/>
  <c r="O68" i="9"/>
  <c r="O69" i="9"/>
  <c r="O70" i="9"/>
  <c r="O20" i="9"/>
  <c r="O72" i="9"/>
  <c r="O73" i="9"/>
  <c r="O37" i="9"/>
  <c r="O75" i="9"/>
  <c r="O76" i="9"/>
  <c r="O77" i="9"/>
  <c r="O78" i="9"/>
  <c r="O79" i="9"/>
  <c r="O80" i="9"/>
  <c r="O81" i="9"/>
  <c r="O82" i="9"/>
  <c r="O83" i="9"/>
  <c r="O84" i="9"/>
  <c r="O85" i="9"/>
  <c r="O86" i="9"/>
  <c r="O87" i="9"/>
  <c r="O88" i="9"/>
  <c r="O89" i="9"/>
  <c r="O90" i="9"/>
  <c r="O91" i="9"/>
  <c r="O92" i="9"/>
  <c r="N31" i="9"/>
  <c r="N4" i="9"/>
  <c r="N6" i="9"/>
  <c r="N8" i="9"/>
  <c r="N9" i="9"/>
  <c r="N22" i="9"/>
  <c r="N34" i="9"/>
  <c r="N47" i="9"/>
  <c r="N12" i="9"/>
  <c r="N13" i="9"/>
  <c r="N14" i="9"/>
  <c r="N15" i="9"/>
  <c r="N16" i="9"/>
  <c r="N10" i="9"/>
  <c r="N11" i="9"/>
  <c r="N48" i="9"/>
  <c r="N23" i="9"/>
  <c r="N71" i="9"/>
  <c r="N32" i="9"/>
  <c r="N21" i="9"/>
  <c r="N24" i="9"/>
  <c r="N25" i="9"/>
  <c r="N19" i="9"/>
  <c r="N27" i="9"/>
  <c r="N33" i="9"/>
  <c r="N74" i="9"/>
  <c r="N7" i="9"/>
  <c r="N17" i="9"/>
  <c r="N18" i="9"/>
  <c r="N28" i="9"/>
  <c r="N30" i="9"/>
  <c r="N35" i="9"/>
  <c r="N36" i="9"/>
  <c r="N29" i="9"/>
  <c r="N38" i="9"/>
  <c r="N39" i="9"/>
  <c r="N42" i="9"/>
  <c r="N43" i="9"/>
  <c r="N44" i="9"/>
  <c r="N45" i="9"/>
  <c r="N46" i="9"/>
  <c r="N5" i="9"/>
  <c r="N26" i="9"/>
  <c r="N49" i="9"/>
  <c r="N50" i="9"/>
  <c r="N53" i="9"/>
  <c r="N54" i="9"/>
  <c r="N56" i="9"/>
  <c r="N57" i="9"/>
  <c r="N59" i="9"/>
  <c r="N60" i="9"/>
  <c r="N61" i="9"/>
  <c r="N64" i="9"/>
  <c r="N65" i="9"/>
  <c r="N66" i="9"/>
  <c r="N68" i="9"/>
  <c r="N69" i="9"/>
  <c r="N20" i="9"/>
  <c r="N72" i="9"/>
  <c r="N73" i="9"/>
  <c r="N37" i="9"/>
  <c r="N76" i="9"/>
  <c r="N77" i="9"/>
  <c r="N78" i="9"/>
  <c r="N79" i="9"/>
  <c r="N80" i="9"/>
  <c r="N81" i="9"/>
  <c r="N82" i="9"/>
  <c r="N83" i="9"/>
  <c r="N84" i="9"/>
  <c r="N85" i="9"/>
  <c r="N86" i="9"/>
  <c r="N87" i="9"/>
  <c r="N88" i="9"/>
  <c r="N89" i="9"/>
  <c r="N90" i="9"/>
  <c r="N91" i="9"/>
  <c r="N92" i="9"/>
  <c r="B23" i="8"/>
  <c r="B18" i="8"/>
  <c r="B10" i="8"/>
  <c r="B8" i="8"/>
  <c r="B73" i="11"/>
  <c r="B74" i="11"/>
  <c r="B75" i="11"/>
  <c r="B76" i="11"/>
  <c r="AE31" i="9"/>
  <c r="AE4" i="9"/>
  <c r="AE6" i="9"/>
  <c r="AE8" i="9"/>
  <c r="AE9" i="9"/>
  <c r="AE22" i="9"/>
  <c r="AE34" i="9"/>
  <c r="AE47" i="9"/>
  <c r="AE13" i="9"/>
  <c r="AE14" i="9"/>
  <c r="AE15" i="9"/>
  <c r="AE16" i="9"/>
  <c r="AE10" i="9"/>
  <c r="AE11" i="9"/>
  <c r="AE48" i="9"/>
  <c r="AE23" i="9"/>
  <c r="AE71" i="9"/>
  <c r="AE32" i="9"/>
  <c r="AE21" i="9"/>
  <c r="AE24" i="9"/>
  <c r="AE25" i="9"/>
  <c r="AE19" i="9"/>
  <c r="AE27" i="9"/>
  <c r="AE33" i="9"/>
  <c r="AE74" i="9"/>
  <c r="AE7" i="9"/>
  <c r="AE17" i="9"/>
  <c r="AE18" i="9"/>
  <c r="AE28" i="9"/>
  <c r="AE30" i="9"/>
  <c r="AE35" i="9"/>
  <c r="AE36" i="9"/>
  <c r="AE29" i="9"/>
  <c r="AE38" i="9"/>
  <c r="AE39" i="9"/>
  <c r="AE40" i="9"/>
  <c r="AE41" i="9"/>
  <c r="AE42" i="9"/>
  <c r="AE43" i="9"/>
  <c r="AE44" i="9"/>
  <c r="AE45" i="9"/>
  <c r="AE46" i="9"/>
  <c r="AE5" i="9"/>
  <c r="AE26" i="9"/>
  <c r="AE49" i="9"/>
  <c r="AE50" i="9"/>
  <c r="AE51" i="9"/>
  <c r="AE52" i="9"/>
  <c r="AE53" i="9"/>
  <c r="AE54" i="9"/>
  <c r="AE55" i="9"/>
  <c r="AE56" i="9"/>
  <c r="AE57" i="9"/>
  <c r="AE58" i="9"/>
  <c r="AE59" i="9"/>
  <c r="AE60" i="9"/>
  <c r="AE61" i="9"/>
  <c r="AE62" i="9"/>
  <c r="AE63" i="9"/>
  <c r="AE64" i="9"/>
  <c r="AE65" i="9"/>
  <c r="AE66" i="9"/>
  <c r="AE67" i="9"/>
  <c r="AE68" i="9"/>
  <c r="AE69" i="9"/>
  <c r="AE70" i="9"/>
  <c r="AE20" i="9"/>
  <c r="AE72" i="9"/>
  <c r="AE73" i="9"/>
  <c r="AE37" i="9"/>
  <c r="AE75" i="9"/>
  <c r="AE76" i="9"/>
  <c r="AE77" i="9"/>
  <c r="AE78" i="9"/>
  <c r="AE79" i="9"/>
  <c r="AE80" i="9"/>
  <c r="AE81" i="9"/>
  <c r="AE82" i="9"/>
  <c r="AE83" i="9"/>
  <c r="AE84" i="9"/>
  <c r="AE85" i="9"/>
  <c r="AE86" i="9"/>
  <c r="AE87" i="9"/>
  <c r="AE88" i="9"/>
  <c r="AE89" i="9"/>
  <c r="AE90" i="9"/>
  <c r="AE91" i="9"/>
  <c r="AE92" i="9"/>
  <c r="D42" i="8"/>
  <c r="M42" i="9" s="1"/>
  <c r="D41" i="8"/>
  <c r="D40" i="8"/>
  <c r="M40" i="9" s="1"/>
  <c r="D45" i="8"/>
  <c r="M45" i="9" s="1"/>
  <c r="D44" i="8"/>
  <c r="M44" i="9" s="1"/>
  <c r="C45" i="8"/>
  <c r="L45" i="9" s="1"/>
  <c r="C44" i="8"/>
  <c r="L44" i="9" s="1"/>
  <c r="C42" i="8"/>
  <c r="L42" i="9" s="1"/>
  <c r="C41" i="8"/>
  <c r="L41" i="9" s="1"/>
  <c r="C40" i="8"/>
  <c r="L40" i="9" s="1"/>
  <c r="AU31" i="9"/>
  <c r="AU4" i="9"/>
  <c r="AU6" i="9"/>
  <c r="AU8" i="9"/>
  <c r="AU9" i="9"/>
  <c r="AU22" i="9"/>
  <c r="AU34" i="9"/>
  <c r="AU47" i="9"/>
  <c r="AU12" i="9"/>
  <c r="AU13" i="9"/>
  <c r="AU14" i="9"/>
  <c r="AU15" i="9"/>
  <c r="AU16" i="9"/>
  <c r="AU10" i="9"/>
  <c r="AU11" i="9"/>
  <c r="AU48" i="9"/>
  <c r="AU23" i="9"/>
  <c r="AU71" i="9"/>
  <c r="AU32" i="9"/>
  <c r="AU21" i="9"/>
  <c r="AU24" i="9"/>
  <c r="AU25" i="9"/>
  <c r="AU19" i="9"/>
  <c r="AU27" i="9"/>
  <c r="AU33" i="9"/>
  <c r="AU74" i="9"/>
  <c r="AU7" i="9"/>
  <c r="AU17" i="9"/>
  <c r="AU18" i="9"/>
  <c r="AU28" i="9"/>
  <c r="AU30" i="9"/>
  <c r="AU35" i="9"/>
  <c r="AU36" i="9"/>
  <c r="AU29" i="9"/>
  <c r="AU38" i="9"/>
  <c r="AU39" i="9"/>
  <c r="AU40" i="9"/>
  <c r="AU41" i="9"/>
  <c r="AU42" i="9"/>
  <c r="AU43" i="9"/>
  <c r="AU44" i="9"/>
  <c r="AU45" i="9"/>
  <c r="AU46" i="9"/>
  <c r="AU5" i="9"/>
  <c r="AU26" i="9"/>
  <c r="AU49" i="9"/>
  <c r="AU50" i="9"/>
  <c r="AU51" i="9"/>
  <c r="AU52" i="9"/>
  <c r="AU53" i="9"/>
  <c r="AU54" i="9"/>
  <c r="AU55" i="9"/>
  <c r="AU56" i="9"/>
  <c r="AU57" i="9"/>
  <c r="AU58" i="9"/>
  <c r="AU59" i="9"/>
  <c r="AU60" i="9"/>
  <c r="AU61" i="9"/>
  <c r="AU62" i="9"/>
  <c r="AU63" i="9"/>
  <c r="AU64" i="9"/>
  <c r="AU65" i="9"/>
  <c r="AU66" i="9"/>
  <c r="AU67" i="9"/>
  <c r="AU68" i="9"/>
  <c r="AU69" i="9"/>
  <c r="AU70" i="9"/>
  <c r="AU20" i="9"/>
  <c r="AU72" i="9"/>
  <c r="AU73" i="9"/>
  <c r="AU37" i="9"/>
  <c r="AU75" i="9"/>
  <c r="AU76" i="9"/>
  <c r="AU77" i="9"/>
  <c r="AU78" i="9"/>
  <c r="AU79" i="9"/>
  <c r="AU80" i="9"/>
  <c r="AU81" i="9"/>
  <c r="AU82" i="9"/>
  <c r="AU83" i="9"/>
  <c r="AU84" i="9"/>
  <c r="AU85" i="9"/>
  <c r="AU86" i="9"/>
  <c r="AU87" i="9"/>
  <c r="AU88" i="9"/>
  <c r="AU89" i="9"/>
  <c r="AU90" i="9"/>
  <c r="AU91" i="9"/>
  <c r="AU92" i="9"/>
  <c r="AT31" i="9"/>
  <c r="AT4" i="9"/>
  <c r="AT6" i="9"/>
  <c r="AT8" i="9"/>
  <c r="AT9" i="9"/>
  <c r="AT22" i="9"/>
  <c r="AT34" i="9"/>
  <c r="AT47" i="9"/>
  <c r="AT12" i="9"/>
  <c r="AT13" i="9"/>
  <c r="AT14" i="9"/>
  <c r="AT15" i="9"/>
  <c r="AT16" i="9"/>
  <c r="AT10" i="9"/>
  <c r="AT11" i="9"/>
  <c r="AT48" i="9"/>
  <c r="AT23" i="9"/>
  <c r="AT71" i="9"/>
  <c r="AT32" i="9"/>
  <c r="AT21" i="9"/>
  <c r="AT24" i="9"/>
  <c r="AT25" i="9"/>
  <c r="AT19" i="9"/>
  <c r="AT27" i="9"/>
  <c r="AT33" i="9"/>
  <c r="AT74" i="9"/>
  <c r="AT7" i="9"/>
  <c r="AT17" i="9"/>
  <c r="AT18" i="9"/>
  <c r="AT28" i="9"/>
  <c r="AT30" i="9"/>
  <c r="AT35" i="9"/>
  <c r="AT36" i="9"/>
  <c r="AT29" i="9"/>
  <c r="AT38" i="9"/>
  <c r="AT39" i="9"/>
  <c r="AT40" i="9"/>
  <c r="AT41" i="9"/>
  <c r="AT42" i="9"/>
  <c r="AT43" i="9"/>
  <c r="AT44" i="9"/>
  <c r="AT45" i="9"/>
  <c r="AT46" i="9"/>
  <c r="AT5" i="9"/>
  <c r="AT26" i="9"/>
  <c r="AT49" i="9"/>
  <c r="AT50" i="9"/>
  <c r="AT51" i="9"/>
  <c r="AT52" i="9"/>
  <c r="AT53" i="9"/>
  <c r="AT54" i="9"/>
  <c r="AT55" i="9"/>
  <c r="AT56" i="9"/>
  <c r="AT57" i="9"/>
  <c r="AT58" i="9"/>
  <c r="AT59" i="9"/>
  <c r="AT60" i="9"/>
  <c r="AT61" i="9"/>
  <c r="AT62" i="9"/>
  <c r="AT63" i="9"/>
  <c r="AT64" i="9"/>
  <c r="AT65" i="9"/>
  <c r="AT66" i="9"/>
  <c r="AT67" i="9"/>
  <c r="AT68" i="9"/>
  <c r="AT69" i="9"/>
  <c r="AT70" i="9"/>
  <c r="AT20" i="9"/>
  <c r="AT72" i="9"/>
  <c r="AT73" i="9"/>
  <c r="AT37" i="9"/>
  <c r="AT75" i="9"/>
  <c r="AT76" i="9"/>
  <c r="AT77" i="9"/>
  <c r="AT78" i="9"/>
  <c r="AT79" i="9"/>
  <c r="AT80" i="9"/>
  <c r="AT81" i="9"/>
  <c r="AT82" i="9"/>
  <c r="AT83" i="9"/>
  <c r="AT84" i="9"/>
  <c r="AT85" i="9"/>
  <c r="AT86" i="9"/>
  <c r="AT87" i="9"/>
  <c r="AT88" i="9"/>
  <c r="AT89" i="9"/>
  <c r="AT90" i="9"/>
  <c r="AT91" i="9"/>
  <c r="AT92" i="9"/>
  <c r="AS31" i="9"/>
  <c r="AS4" i="9"/>
  <c r="AS6" i="9"/>
  <c r="AS8" i="9"/>
  <c r="AS9" i="9"/>
  <c r="AS22" i="9"/>
  <c r="AS34" i="9"/>
  <c r="AS47" i="9"/>
  <c r="AS12" i="9"/>
  <c r="AS13" i="9"/>
  <c r="AS14" i="9"/>
  <c r="AS15" i="9"/>
  <c r="AS16" i="9"/>
  <c r="AS10" i="9"/>
  <c r="AS11" i="9"/>
  <c r="AS48" i="9"/>
  <c r="AS23" i="9"/>
  <c r="AS71" i="9"/>
  <c r="AS32" i="9"/>
  <c r="AS21" i="9"/>
  <c r="AS24" i="9"/>
  <c r="AS25" i="9"/>
  <c r="AS19" i="9"/>
  <c r="AS27" i="9"/>
  <c r="AS33" i="9"/>
  <c r="AS74" i="9"/>
  <c r="AS7" i="9"/>
  <c r="AS17" i="9"/>
  <c r="AS18" i="9"/>
  <c r="AS28" i="9"/>
  <c r="AS30" i="9"/>
  <c r="AS35" i="9"/>
  <c r="AS36" i="9"/>
  <c r="AS29" i="9"/>
  <c r="AS38" i="9"/>
  <c r="AS39" i="9"/>
  <c r="AS40" i="9"/>
  <c r="AS41" i="9"/>
  <c r="AS42" i="9"/>
  <c r="AS43" i="9"/>
  <c r="AS44" i="9"/>
  <c r="AS45" i="9"/>
  <c r="AS46" i="9"/>
  <c r="AS5" i="9"/>
  <c r="AS26" i="9"/>
  <c r="AS49" i="9"/>
  <c r="AS50" i="9"/>
  <c r="AS51" i="9"/>
  <c r="AS52" i="9"/>
  <c r="AS53" i="9"/>
  <c r="AS54" i="9"/>
  <c r="AS55" i="9"/>
  <c r="AS56" i="9"/>
  <c r="AS57" i="9"/>
  <c r="AS58" i="9"/>
  <c r="AS59" i="9"/>
  <c r="AS60" i="9"/>
  <c r="AS61" i="9"/>
  <c r="AS62" i="9"/>
  <c r="AS63" i="9"/>
  <c r="AS64" i="9"/>
  <c r="AS65" i="9"/>
  <c r="AS66" i="9"/>
  <c r="AS67" i="9"/>
  <c r="AS68" i="9"/>
  <c r="AS69" i="9"/>
  <c r="AS70" i="9"/>
  <c r="AS20" i="9"/>
  <c r="AS72" i="9"/>
  <c r="AS73" i="9"/>
  <c r="AS37" i="9"/>
  <c r="AS75" i="9"/>
  <c r="AS76" i="9"/>
  <c r="AS77" i="9"/>
  <c r="AS78" i="9"/>
  <c r="AS79" i="9"/>
  <c r="AS80" i="9"/>
  <c r="AS81" i="9"/>
  <c r="AS82" i="9"/>
  <c r="AS83" i="9"/>
  <c r="AS84" i="9"/>
  <c r="AS85" i="9"/>
  <c r="AS86" i="9"/>
  <c r="AS87" i="9"/>
  <c r="AS88" i="9"/>
  <c r="AS89" i="9"/>
  <c r="AS90" i="9"/>
  <c r="AS91" i="9"/>
  <c r="AS92" i="9"/>
  <c r="AR31" i="9"/>
  <c r="AR4" i="9"/>
  <c r="AR6" i="9"/>
  <c r="AR8" i="9"/>
  <c r="AR9" i="9"/>
  <c r="AR22" i="9"/>
  <c r="AR34" i="9"/>
  <c r="AR47" i="9"/>
  <c r="AR12" i="9"/>
  <c r="AR13" i="9"/>
  <c r="AR15" i="9"/>
  <c r="AR10" i="9"/>
  <c r="AR11" i="9"/>
  <c r="AR48" i="9"/>
  <c r="AR23" i="9"/>
  <c r="AR71" i="9"/>
  <c r="AR32" i="9"/>
  <c r="AR21" i="9"/>
  <c r="AR24" i="9"/>
  <c r="AR25" i="9"/>
  <c r="AR19" i="9"/>
  <c r="AR27" i="9"/>
  <c r="AR33" i="9"/>
  <c r="AR74" i="9"/>
  <c r="AR7" i="9"/>
  <c r="AR17" i="9"/>
  <c r="AR18" i="9"/>
  <c r="AR28" i="9"/>
  <c r="AR30" i="9"/>
  <c r="AR35" i="9"/>
  <c r="AR36" i="9"/>
  <c r="AR29" i="9"/>
  <c r="AR39" i="9"/>
  <c r="AR40" i="9"/>
  <c r="AR41" i="9"/>
  <c r="AR42" i="9"/>
  <c r="AR43" i="9"/>
  <c r="AR44" i="9"/>
  <c r="AR45" i="9"/>
  <c r="AR46" i="9"/>
  <c r="AR5" i="9"/>
  <c r="AR26" i="9"/>
  <c r="AR49" i="9"/>
  <c r="AR50" i="9"/>
  <c r="AR51" i="9"/>
  <c r="AR52" i="9"/>
  <c r="AR53" i="9"/>
  <c r="AR54" i="9"/>
  <c r="AR55" i="9"/>
  <c r="AR56" i="9"/>
  <c r="AR57" i="9"/>
  <c r="AR58" i="9"/>
  <c r="AR59" i="9"/>
  <c r="AR60" i="9"/>
  <c r="AR61" i="9"/>
  <c r="AR62" i="9"/>
  <c r="AR63" i="9"/>
  <c r="AR64" i="9"/>
  <c r="AR65" i="9"/>
  <c r="AR66" i="9"/>
  <c r="AR67" i="9"/>
  <c r="AR68" i="9"/>
  <c r="AR69" i="9"/>
  <c r="AR70" i="9"/>
  <c r="AR20" i="9"/>
  <c r="AR72" i="9"/>
  <c r="AR73" i="9"/>
  <c r="AR37" i="9"/>
  <c r="AR75" i="9"/>
  <c r="AR76" i="9"/>
  <c r="AR77" i="9"/>
  <c r="AR78" i="9"/>
  <c r="AR79" i="9"/>
  <c r="AR80" i="9"/>
  <c r="AR81" i="9"/>
  <c r="AR82" i="9"/>
  <c r="AR83" i="9"/>
  <c r="AR84" i="9"/>
  <c r="AR85" i="9"/>
  <c r="AR86" i="9"/>
  <c r="AR87" i="9"/>
  <c r="AR88" i="9"/>
  <c r="AR89" i="9"/>
  <c r="AR90" i="9"/>
  <c r="AR91" i="9"/>
  <c r="AR92" i="9"/>
  <c r="AQ31" i="9"/>
  <c r="AQ4" i="9"/>
  <c r="AQ6" i="9"/>
  <c r="AQ8" i="9"/>
  <c r="AQ9" i="9"/>
  <c r="AQ22" i="9"/>
  <c r="AQ34" i="9"/>
  <c r="AQ47" i="9"/>
  <c r="AQ12" i="9"/>
  <c r="AQ13" i="9"/>
  <c r="AQ14" i="9"/>
  <c r="AQ15" i="9"/>
  <c r="AQ16" i="9"/>
  <c r="AQ10" i="9"/>
  <c r="AQ11" i="9"/>
  <c r="AQ48" i="9"/>
  <c r="AQ23" i="9"/>
  <c r="AQ71" i="9"/>
  <c r="AQ32" i="9"/>
  <c r="AQ21" i="9"/>
  <c r="AQ24" i="9"/>
  <c r="AQ25" i="9"/>
  <c r="AQ19" i="9"/>
  <c r="AQ27" i="9"/>
  <c r="AQ33" i="9"/>
  <c r="AQ74" i="9"/>
  <c r="AQ7" i="9"/>
  <c r="AQ17" i="9"/>
  <c r="AQ18" i="9"/>
  <c r="AQ28" i="9"/>
  <c r="AQ30" i="9"/>
  <c r="AQ35" i="9"/>
  <c r="AQ36" i="9"/>
  <c r="AQ29" i="9"/>
  <c r="AQ38" i="9"/>
  <c r="AQ39" i="9"/>
  <c r="AQ40" i="9"/>
  <c r="AQ41" i="9"/>
  <c r="AQ42" i="9"/>
  <c r="AQ43" i="9"/>
  <c r="AQ44" i="9"/>
  <c r="AQ45" i="9"/>
  <c r="AQ46" i="9"/>
  <c r="AQ5" i="9"/>
  <c r="AQ26" i="9"/>
  <c r="AQ49" i="9"/>
  <c r="AQ50" i="9"/>
  <c r="AQ51" i="9"/>
  <c r="AQ52" i="9"/>
  <c r="AQ53" i="9"/>
  <c r="AQ54" i="9"/>
  <c r="AQ55" i="9"/>
  <c r="AQ56" i="9"/>
  <c r="AQ57" i="9"/>
  <c r="AQ58" i="9"/>
  <c r="AQ59" i="9"/>
  <c r="AQ60" i="9"/>
  <c r="AQ61" i="9"/>
  <c r="AQ62" i="9"/>
  <c r="AQ63" i="9"/>
  <c r="AQ64" i="9"/>
  <c r="AQ65" i="9"/>
  <c r="AQ66" i="9"/>
  <c r="AQ67" i="9"/>
  <c r="AQ68" i="9"/>
  <c r="AQ69" i="9"/>
  <c r="AQ70" i="9"/>
  <c r="AQ20" i="9"/>
  <c r="AQ72" i="9"/>
  <c r="AQ73" i="9"/>
  <c r="AQ37" i="9"/>
  <c r="AQ75" i="9"/>
  <c r="AQ76" i="9"/>
  <c r="AQ77" i="9"/>
  <c r="AQ78" i="9"/>
  <c r="AQ79" i="9"/>
  <c r="AQ80" i="9"/>
  <c r="AQ81" i="9"/>
  <c r="AQ82" i="9"/>
  <c r="AQ83" i="9"/>
  <c r="AQ84" i="9"/>
  <c r="AQ85" i="9"/>
  <c r="AQ86" i="9"/>
  <c r="AQ87" i="9"/>
  <c r="AQ88" i="9"/>
  <c r="AQ89" i="9"/>
  <c r="AQ90" i="9"/>
  <c r="AQ91" i="9"/>
  <c r="AQ92" i="9"/>
  <c r="AP31" i="9"/>
  <c r="AP4" i="9"/>
  <c r="AP6" i="9"/>
  <c r="AP8" i="9"/>
  <c r="AP9" i="9"/>
  <c r="AP22" i="9"/>
  <c r="AP34" i="9"/>
  <c r="AP47" i="9"/>
  <c r="AP12" i="9"/>
  <c r="AP13" i="9"/>
  <c r="AP14" i="9"/>
  <c r="AP15" i="9"/>
  <c r="AP16" i="9"/>
  <c r="AP10" i="9"/>
  <c r="AP11" i="9"/>
  <c r="AP48" i="9"/>
  <c r="AP23" i="9"/>
  <c r="AP71" i="9"/>
  <c r="AP32" i="9"/>
  <c r="AP21" i="9"/>
  <c r="AP24" i="9"/>
  <c r="AP25" i="9"/>
  <c r="AP19" i="9"/>
  <c r="AP27" i="9"/>
  <c r="AP33" i="9"/>
  <c r="AP74" i="9"/>
  <c r="AP7" i="9"/>
  <c r="AP17" i="9"/>
  <c r="AP18" i="9"/>
  <c r="AP28" i="9"/>
  <c r="AP30" i="9"/>
  <c r="AP35" i="9"/>
  <c r="AP36" i="9"/>
  <c r="AP29" i="9"/>
  <c r="AP38" i="9"/>
  <c r="AP39" i="9"/>
  <c r="AP40" i="9"/>
  <c r="AP41" i="9"/>
  <c r="AP42" i="9"/>
  <c r="AP43" i="9"/>
  <c r="AP44" i="9"/>
  <c r="AP45" i="9"/>
  <c r="AP46" i="9"/>
  <c r="AP5" i="9"/>
  <c r="AP26" i="9"/>
  <c r="AP49" i="9"/>
  <c r="AP50" i="9"/>
  <c r="AP51" i="9"/>
  <c r="AP52" i="9"/>
  <c r="AP53" i="9"/>
  <c r="AP54" i="9"/>
  <c r="AP55" i="9"/>
  <c r="AP56" i="9"/>
  <c r="AP57" i="9"/>
  <c r="AP58" i="9"/>
  <c r="AP59" i="9"/>
  <c r="AP60" i="9"/>
  <c r="AP61" i="9"/>
  <c r="AP62" i="9"/>
  <c r="AP63" i="9"/>
  <c r="AP64" i="9"/>
  <c r="AP65" i="9"/>
  <c r="AP66" i="9"/>
  <c r="AP67" i="9"/>
  <c r="AP68" i="9"/>
  <c r="AP69" i="9"/>
  <c r="AP70" i="9"/>
  <c r="AP20" i="9"/>
  <c r="AP72" i="9"/>
  <c r="AP73" i="9"/>
  <c r="AP37" i="9"/>
  <c r="AP75" i="9"/>
  <c r="AP76" i="9"/>
  <c r="AP77" i="9"/>
  <c r="AP78" i="9"/>
  <c r="AP79" i="9"/>
  <c r="AP80" i="9"/>
  <c r="AP81" i="9"/>
  <c r="AP82" i="9"/>
  <c r="AP83" i="9"/>
  <c r="AP84" i="9"/>
  <c r="AP85" i="9"/>
  <c r="AP86" i="9"/>
  <c r="AP87" i="9"/>
  <c r="AP88" i="9"/>
  <c r="AP89" i="9"/>
  <c r="AP90" i="9"/>
  <c r="AP91" i="9"/>
  <c r="AP92" i="9"/>
  <c r="AO31" i="9"/>
  <c r="AO4" i="9"/>
  <c r="AO6" i="9"/>
  <c r="AO8" i="9"/>
  <c r="AO9" i="9"/>
  <c r="AO22" i="9"/>
  <c r="AO34" i="9"/>
  <c r="AO47" i="9"/>
  <c r="AO12" i="9"/>
  <c r="AO13" i="9"/>
  <c r="AO14" i="9"/>
  <c r="AO15" i="9"/>
  <c r="AO16" i="9"/>
  <c r="AO10" i="9"/>
  <c r="AO11" i="9"/>
  <c r="AO48" i="9"/>
  <c r="AO23" i="9"/>
  <c r="AO71" i="9"/>
  <c r="AO32" i="9"/>
  <c r="AO21" i="9"/>
  <c r="AO24" i="9"/>
  <c r="AO25" i="9"/>
  <c r="AO19" i="9"/>
  <c r="AO27" i="9"/>
  <c r="AO33" i="9"/>
  <c r="AO74" i="9"/>
  <c r="AO7" i="9"/>
  <c r="AO17" i="9"/>
  <c r="AO18" i="9"/>
  <c r="AO28" i="9"/>
  <c r="AO30" i="9"/>
  <c r="AO35" i="9"/>
  <c r="AO36" i="9"/>
  <c r="AO29" i="9"/>
  <c r="AO38" i="9"/>
  <c r="AO39" i="9"/>
  <c r="AO40" i="9"/>
  <c r="AO41" i="9"/>
  <c r="AO42" i="9"/>
  <c r="AO43" i="9"/>
  <c r="AO44" i="9"/>
  <c r="AO45" i="9"/>
  <c r="AO46" i="9"/>
  <c r="AO5" i="9"/>
  <c r="AO26" i="9"/>
  <c r="AO49" i="9"/>
  <c r="AO50" i="9"/>
  <c r="AO51" i="9"/>
  <c r="AO52" i="9"/>
  <c r="AO53" i="9"/>
  <c r="AO54" i="9"/>
  <c r="AO55" i="9"/>
  <c r="AO56" i="9"/>
  <c r="AO57" i="9"/>
  <c r="AO58" i="9"/>
  <c r="AO59" i="9"/>
  <c r="AO60" i="9"/>
  <c r="AO61" i="9"/>
  <c r="AO62" i="9"/>
  <c r="AO63" i="9"/>
  <c r="AO64" i="9"/>
  <c r="AO65" i="9"/>
  <c r="AO66" i="9"/>
  <c r="AO67" i="9"/>
  <c r="AO68" i="9"/>
  <c r="AO69" i="9"/>
  <c r="AO70" i="9"/>
  <c r="AO20" i="9"/>
  <c r="AO72" i="9"/>
  <c r="AO73" i="9"/>
  <c r="AO37" i="9"/>
  <c r="AO75" i="9"/>
  <c r="AO76" i="9"/>
  <c r="AO77" i="9"/>
  <c r="AO78" i="9"/>
  <c r="AO79" i="9"/>
  <c r="AO80" i="9"/>
  <c r="AO81" i="9"/>
  <c r="AO82" i="9"/>
  <c r="AO83" i="9"/>
  <c r="AO84" i="9"/>
  <c r="AO85" i="9"/>
  <c r="AO86" i="9"/>
  <c r="AO87" i="9"/>
  <c r="AO88" i="9"/>
  <c r="AO89" i="9"/>
  <c r="AO90" i="9"/>
  <c r="AO91" i="9"/>
  <c r="AO92" i="9"/>
  <c r="AN31" i="9"/>
  <c r="AN4" i="9"/>
  <c r="AN6" i="9"/>
  <c r="AN8" i="9"/>
  <c r="AN9" i="9"/>
  <c r="AN22" i="9"/>
  <c r="AN34" i="9"/>
  <c r="AN47" i="9"/>
  <c r="AN12" i="9"/>
  <c r="AN13" i="9"/>
  <c r="AN15" i="9"/>
  <c r="AN10" i="9"/>
  <c r="AN11" i="9"/>
  <c r="AN48" i="9"/>
  <c r="AN23" i="9"/>
  <c r="AN71" i="9"/>
  <c r="AN32" i="9"/>
  <c r="AN21" i="9"/>
  <c r="AN24" i="9"/>
  <c r="AN25" i="9"/>
  <c r="AN19" i="9"/>
  <c r="AN27" i="9"/>
  <c r="AN33" i="9"/>
  <c r="AN74" i="9"/>
  <c r="AN7" i="9"/>
  <c r="AN17" i="9"/>
  <c r="AN18" i="9"/>
  <c r="AN28" i="9"/>
  <c r="AN30" i="9"/>
  <c r="AN35" i="9"/>
  <c r="AN36" i="9"/>
  <c r="AN29" i="9"/>
  <c r="AN38" i="9"/>
  <c r="AN39" i="9"/>
  <c r="AN40" i="9"/>
  <c r="AN41" i="9"/>
  <c r="AN42" i="9"/>
  <c r="AN43" i="9"/>
  <c r="AN44" i="9"/>
  <c r="AN45" i="9"/>
  <c r="AN46" i="9"/>
  <c r="AN5" i="9"/>
  <c r="AN26" i="9"/>
  <c r="AN49" i="9"/>
  <c r="AN50" i="9"/>
  <c r="AN51" i="9"/>
  <c r="AN52" i="9"/>
  <c r="AN53" i="9"/>
  <c r="AN54" i="9"/>
  <c r="AN55" i="9"/>
  <c r="AN56" i="9"/>
  <c r="AN57" i="9"/>
  <c r="AN58" i="9"/>
  <c r="AN59" i="9"/>
  <c r="AN60" i="9"/>
  <c r="AN61" i="9"/>
  <c r="AN62" i="9"/>
  <c r="AN63" i="9"/>
  <c r="AN64" i="9"/>
  <c r="AN65" i="9"/>
  <c r="AN66" i="9"/>
  <c r="AN67" i="9"/>
  <c r="AN68" i="9"/>
  <c r="AN69" i="9"/>
  <c r="AN70" i="9"/>
  <c r="AN20" i="9"/>
  <c r="AN72" i="9"/>
  <c r="AN73" i="9"/>
  <c r="AN37" i="9"/>
  <c r="AN75" i="9"/>
  <c r="AN76" i="9"/>
  <c r="AN77" i="9"/>
  <c r="AN78" i="9"/>
  <c r="AN79" i="9"/>
  <c r="AN80" i="9"/>
  <c r="AN81" i="9"/>
  <c r="AN82" i="9"/>
  <c r="AN83" i="9"/>
  <c r="AN84" i="9"/>
  <c r="AN85" i="9"/>
  <c r="AN86" i="9"/>
  <c r="AN87" i="9"/>
  <c r="AN88" i="9"/>
  <c r="AN89" i="9"/>
  <c r="AN90" i="9"/>
  <c r="AN91" i="9"/>
  <c r="AN92" i="9"/>
  <c r="AM31" i="9"/>
  <c r="AM4" i="9"/>
  <c r="AM6" i="9"/>
  <c r="AM8" i="9"/>
  <c r="AM9" i="9"/>
  <c r="AM22" i="9"/>
  <c r="AM34" i="9"/>
  <c r="AM47" i="9"/>
  <c r="AM12" i="9"/>
  <c r="AM13" i="9"/>
  <c r="AM14" i="9"/>
  <c r="AM15" i="9"/>
  <c r="AM16" i="9"/>
  <c r="AM10" i="9"/>
  <c r="AM11" i="9"/>
  <c r="AM48" i="9"/>
  <c r="AM23" i="9"/>
  <c r="AM71" i="9"/>
  <c r="AM32" i="9"/>
  <c r="AM21" i="9"/>
  <c r="AM24" i="9"/>
  <c r="AM25" i="9"/>
  <c r="AM19" i="9"/>
  <c r="AM27" i="9"/>
  <c r="AM33" i="9"/>
  <c r="AM74" i="9"/>
  <c r="AM7" i="9"/>
  <c r="AM17" i="9"/>
  <c r="AM18" i="9"/>
  <c r="AM28" i="9"/>
  <c r="AM30" i="9"/>
  <c r="AM35" i="9"/>
  <c r="AM36" i="9"/>
  <c r="AM29" i="9"/>
  <c r="AM38" i="9"/>
  <c r="AM39" i="9"/>
  <c r="AM40" i="9"/>
  <c r="AM41" i="9"/>
  <c r="AM42" i="9"/>
  <c r="AM43" i="9"/>
  <c r="AM44" i="9"/>
  <c r="AM45" i="9"/>
  <c r="AM46" i="9"/>
  <c r="AM5" i="9"/>
  <c r="AM26" i="9"/>
  <c r="AM49" i="9"/>
  <c r="AM50" i="9"/>
  <c r="AM51" i="9"/>
  <c r="AM52" i="9"/>
  <c r="AM53" i="9"/>
  <c r="AM54" i="9"/>
  <c r="AM55" i="9"/>
  <c r="AM56" i="9"/>
  <c r="AM57" i="9"/>
  <c r="AM58" i="9"/>
  <c r="AM59" i="9"/>
  <c r="AM60" i="9"/>
  <c r="AM61" i="9"/>
  <c r="AM62" i="9"/>
  <c r="AM63" i="9"/>
  <c r="AM64" i="9"/>
  <c r="AM65" i="9"/>
  <c r="AM66" i="9"/>
  <c r="AM67" i="9"/>
  <c r="AM68" i="9"/>
  <c r="AM69" i="9"/>
  <c r="AM70" i="9"/>
  <c r="AM20" i="9"/>
  <c r="AM72" i="9"/>
  <c r="AM73" i="9"/>
  <c r="AM37" i="9"/>
  <c r="AM75" i="9"/>
  <c r="AM76" i="9"/>
  <c r="AM77" i="9"/>
  <c r="AM78" i="9"/>
  <c r="AM79" i="9"/>
  <c r="AM80" i="9"/>
  <c r="AM81" i="9"/>
  <c r="AM82" i="9"/>
  <c r="AM83" i="9"/>
  <c r="AM84" i="9"/>
  <c r="AM85" i="9"/>
  <c r="AM86" i="9"/>
  <c r="AM87" i="9"/>
  <c r="AM88" i="9"/>
  <c r="AM89" i="9"/>
  <c r="AM90" i="9"/>
  <c r="AM91" i="9"/>
  <c r="AM92" i="9"/>
  <c r="AL31" i="9"/>
  <c r="AL4" i="9"/>
  <c r="AL6" i="9"/>
  <c r="AL8" i="9"/>
  <c r="AL9" i="9"/>
  <c r="AL22" i="9"/>
  <c r="AL34" i="9"/>
  <c r="AL47" i="9"/>
  <c r="AL12" i="9"/>
  <c r="AL13" i="9"/>
  <c r="AL14" i="9"/>
  <c r="AL15" i="9"/>
  <c r="AL16" i="9"/>
  <c r="AL10" i="9"/>
  <c r="AL11" i="9"/>
  <c r="AL48" i="9"/>
  <c r="AL23" i="9"/>
  <c r="AL71" i="9"/>
  <c r="AL32" i="9"/>
  <c r="AL21" i="9"/>
  <c r="AL24" i="9"/>
  <c r="AL25" i="9"/>
  <c r="AL19" i="9"/>
  <c r="AL27" i="9"/>
  <c r="AL33" i="9"/>
  <c r="AL74" i="9"/>
  <c r="AL7" i="9"/>
  <c r="AL17" i="9"/>
  <c r="AL18" i="9"/>
  <c r="AL28" i="9"/>
  <c r="AL30" i="9"/>
  <c r="AL35" i="9"/>
  <c r="AL36" i="9"/>
  <c r="AL29" i="9"/>
  <c r="AL38" i="9"/>
  <c r="AL39" i="9"/>
  <c r="AL40" i="9"/>
  <c r="AL41" i="9"/>
  <c r="AL42" i="9"/>
  <c r="AL43" i="9"/>
  <c r="AL44" i="9"/>
  <c r="AL45" i="9"/>
  <c r="AL46" i="9"/>
  <c r="AL5" i="9"/>
  <c r="AL26" i="9"/>
  <c r="AL49" i="9"/>
  <c r="AL50" i="9"/>
  <c r="AL51" i="9"/>
  <c r="AL52" i="9"/>
  <c r="AL53" i="9"/>
  <c r="AL54" i="9"/>
  <c r="AL55" i="9"/>
  <c r="AL56" i="9"/>
  <c r="AL57" i="9"/>
  <c r="AL58" i="9"/>
  <c r="AL59" i="9"/>
  <c r="AL60" i="9"/>
  <c r="AL61" i="9"/>
  <c r="AL62" i="9"/>
  <c r="AL63" i="9"/>
  <c r="AL64" i="9"/>
  <c r="AL65" i="9"/>
  <c r="AL66" i="9"/>
  <c r="AL67" i="9"/>
  <c r="AL68" i="9"/>
  <c r="AL69" i="9"/>
  <c r="AL70" i="9"/>
  <c r="AL20" i="9"/>
  <c r="AL72" i="9"/>
  <c r="AL73" i="9"/>
  <c r="AL37" i="9"/>
  <c r="AL75" i="9"/>
  <c r="AL76" i="9"/>
  <c r="AL77" i="9"/>
  <c r="AL78" i="9"/>
  <c r="AL79" i="9"/>
  <c r="AL80" i="9"/>
  <c r="AL81" i="9"/>
  <c r="AL82" i="9"/>
  <c r="AL83" i="9"/>
  <c r="AL84" i="9"/>
  <c r="AL85" i="9"/>
  <c r="AL86" i="9"/>
  <c r="AL87" i="9"/>
  <c r="AL88" i="9"/>
  <c r="AL89" i="9"/>
  <c r="AL90" i="9"/>
  <c r="AL91" i="9"/>
  <c r="AL92" i="9"/>
  <c r="AK31" i="9"/>
  <c r="AK4" i="9"/>
  <c r="AK6" i="9"/>
  <c r="AK8" i="9"/>
  <c r="AK9" i="9"/>
  <c r="AK22" i="9"/>
  <c r="AK34" i="9"/>
  <c r="AK47" i="9"/>
  <c r="AK13" i="9"/>
  <c r="AK14" i="9"/>
  <c r="AK15" i="9"/>
  <c r="AK16" i="9"/>
  <c r="AK10" i="9"/>
  <c r="AK11" i="9"/>
  <c r="AK48" i="9"/>
  <c r="AK23" i="9"/>
  <c r="AK71" i="9"/>
  <c r="AK32" i="9"/>
  <c r="AK21" i="9"/>
  <c r="AK24" i="9"/>
  <c r="AK25" i="9"/>
  <c r="AK19" i="9"/>
  <c r="AK27" i="9"/>
  <c r="AK33" i="9"/>
  <c r="AK74" i="9"/>
  <c r="AK7" i="9"/>
  <c r="AK17" i="9"/>
  <c r="AK18" i="9"/>
  <c r="AK28" i="9"/>
  <c r="AK30" i="9"/>
  <c r="AK35" i="9"/>
  <c r="AK36" i="9"/>
  <c r="AK29" i="9"/>
  <c r="AK38" i="9"/>
  <c r="AK39" i="9"/>
  <c r="AK40" i="9"/>
  <c r="AK41" i="9"/>
  <c r="AK42" i="9"/>
  <c r="AK43" i="9"/>
  <c r="AK44" i="9"/>
  <c r="AK45" i="9"/>
  <c r="AK46" i="9"/>
  <c r="AK5" i="9"/>
  <c r="AK26" i="9"/>
  <c r="AK49" i="9"/>
  <c r="AK50" i="9"/>
  <c r="AK51" i="9"/>
  <c r="AK52" i="9"/>
  <c r="AK53" i="9"/>
  <c r="AK54" i="9"/>
  <c r="AK55" i="9"/>
  <c r="AK56" i="9"/>
  <c r="AK57" i="9"/>
  <c r="AK58" i="9"/>
  <c r="AK59" i="9"/>
  <c r="AK60" i="9"/>
  <c r="AK61" i="9"/>
  <c r="AK62" i="9"/>
  <c r="AK63" i="9"/>
  <c r="AK64" i="9"/>
  <c r="AK65" i="9"/>
  <c r="AK66" i="9"/>
  <c r="AK67" i="9"/>
  <c r="AK68" i="9"/>
  <c r="AK69" i="9"/>
  <c r="AK70" i="9"/>
  <c r="AK20" i="9"/>
  <c r="AK72" i="9"/>
  <c r="AK73" i="9"/>
  <c r="AK37" i="9"/>
  <c r="AK75" i="9"/>
  <c r="AK76" i="9"/>
  <c r="AK77" i="9"/>
  <c r="AK78" i="9"/>
  <c r="AK79" i="9"/>
  <c r="AK80" i="9"/>
  <c r="AK81" i="9"/>
  <c r="AK82" i="9"/>
  <c r="AK83" i="9"/>
  <c r="AK84" i="9"/>
  <c r="AK85" i="9"/>
  <c r="AK86" i="9"/>
  <c r="AK87" i="9"/>
  <c r="AK88" i="9"/>
  <c r="AK89" i="9"/>
  <c r="AK90" i="9"/>
  <c r="AK91" i="9"/>
  <c r="AK92" i="9"/>
  <c r="AJ31" i="9"/>
  <c r="AJ4" i="9"/>
  <c r="AJ6" i="9"/>
  <c r="AJ8" i="9"/>
  <c r="AJ9" i="9"/>
  <c r="AJ22" i="9"/>
  <c r="AJ34" i="9"/>
  <c r="AJ47" i="9"/>
  <c r="AJ13" i="9"/>
  <c r="AJ14" i="9"/>
  <c r="AJ15" i="9"/>
  <c r="AJ10" i="9"/>
  <c r="AJ11" i="9"/>
  <c r="AJ48" i="9"/>
  <c r="AJ23" i="9"/>
  <c r="AJ71" i="9"/>
  <c r="AJ32" i="9"/>
  <c r="AJ21" i="9"/>
  <c r="AJ24" i="9"/>
  <c r="AJ25" i="9"/>
  <c r="AJ19" i="9"/>
  <c r="AJ27" i="9"/>
  <c r="AJ33" i="9"/>
  <c r="AJ74" i="9"/>
  <c r="AJ7" i="9"/>
  <c r="AJ17" i="9"/>
  <c r="AJ18" i="9"/>
  <c r="AJ28" i="9"/>
  <c r="AJ30" i="9"/>
  <c r="AJ35" i="9"/>
  <c r="AJ36" i="9"/>
  <c r="AJ29" i="9"/>
  <c r="AJ38" i="9"/>
  <c r="AJ39" i="9"/>
  <c r="AJ40" i="9"/>
  <c r="AJ41" i="9"/>
  <c r="AJ42" i="9"/>
  <c r="AJ43" i="9"/>
  <c r="AJ44" i="9"/>
  <c r="AJ45" i="9"/>
  <c r="AJ46" i="9"/>
  <c r="AJ5" i="9"/>
  <c r="AJ26" i="9"/>
  <c r="AJ49" i="9"/>
  <c r="AJ50" i="9"/>
  <c r="AJ51" i="9"/>
  <c r="AJ52" i="9"/>
  <c r="AJ53" i="9"/>
  <c r="AJ54" i="9"/>
  <c r="AJ55" i="9"/>
  <c r="AJ56" i="9"/>
  <c r="AJ57" i="9"/>
  <c r="AJ58" i="9"/>
  <c r="AJ59" i="9"/>
  <c r="AJ60" i="9"/>
  <c r="AJ61" i="9"/>
  <c r="AJ62" i="9"/>
  <c r="AJ63" i="9"/>
  <c r="AJ64" i="9"/>
  <c r="AJ65" i="9"/>
  <c r="AJ66" i="9"/>
  <c r="AJ67" i="9"/>
  <c r="AJ68" i="9"/>
  <c r="AJ69" i="9"/>
  <c r="AJ70" i="9"/>
  <c r="AJ20" i="9"/>
  <c r="AJ72" i="9"/>
  <c r="AJ73" i="9"/>
  <c r="AJ37" i="9"/>
  <c r="AJ75" i="9"/>
  <c r="AJ76" i="9"/>
  <c r="AJ77" i="9"/>
  <c r="AJ78" i="9"/>
  <c r="AJ79" i="9"/>
  <c r="AJ80" i="9"/>
  <c r="AJ81" i="9"/>
  <c r="AJ82" i="9"/>
  <c r="AJ83" i="9"/>
  <c r="AJ84" i="9"/>
  <c r="AJ85" i="9"/>
  <c r="AJ86" i="9"/>
  <c r="AJ87" i="9"/>
  <c r="AJ88" i="9"/>
  <c r="AJ89" i="9"/>
  <c r="AJ90" i="9"/>
  <c r="AJ91" i="9"/>
  <c r="AJ92" i="9"/>
  <c r="AI31" i="9"/>
  <c r="AI4" i="9"/>
  <c r="AI6" i="9"/>
  <c r="AI8" i="9"/>
  <c r="AI9" i="9"/>
  <c r="AI22" i="9"/>
  <c r="AI34" i="9"/>
  <c r="AI47" i="9"/>
  <c r="AI13" i="9"/>
  <c r="AI14" i="9"/>
  <c r="AI15" i="9"/>
  <c r="AI16" i="9"/>
  <c r="AI10" i="9"/>
  <c r="AI11" i="9"/>
  <c r="AI48" i="9"/>
  <c r="AI23" i="9"/>
  <c r="AI71" i="9"/>
  <c r="AI32" i="9"/>
  <c r="AI21" i="9"/>
  <c r="AI24" i="9"/>
  <c r="AI25" i="9"/>
  <c r="AI19" i="9"/>
  <c r="AI27" i="9"/>
  <c r="AI33" i="9"/>
  <c r="AI74" i="9"/>
  <c r="AI7" i="9"/>
  <c r="AI17" i="9"/>
  <c r="AI18" i="9"/>
  <c r="AI28" i="9"/>
  <c r="AI30" i="9"/>
  <c r="AI35" i="9"/>
  <c r="AI36" i="9"/>
  <c r="AI29" i="9"/>
  <c r="AI38" i="9"/>
  <c r="AI39" i="9"/>
  <c r="AI40" i="9"/>
  <c r="AI41" i="9"/>
  <c r="AI42" i="9"/>
  <c r="AI43" i="9"/>
  <c r="AI44" i="9"/>
  <c r="AI45" i="9"/>
  <c r="AI46" i="9"/>
  <c r="AI5" i="9"/>
  <c r="AI26" i="9"/>
  <c r="AI49" i="9"/>
  <c r="AI50" i="9"/>
  <c r="AI51" i="9"/>
  <c r="AI52" i="9"/>
  <c r="AI53" i="9"/>
  <c r="AI54" i="9"/>
  <c r="AI55" i="9"/>
  <c r="AI56" i="9"/>
  <c r="AI57" i="9"/>
  <c r="AI58" i="9"/>
  <c r="AI59" i="9"/>
  <c r="AI60" i="9"/>
  <c r="AI61" i="9"/>
  <c r="AI62" i="9"/>
  <c r="AI63" i="9"/>
  <c r="AI64" i="9"/>
  <c r="AI65" i="9"/>
  <c r="AI66" i="9"/>
  <c r="AI67" i="9"/>
  <c r="AI68" i="9"/>
  <c r="AI69" i="9"/>
  <c r="AI70" i="9"/>
  <c r="AI20" i="9"/>
  <c r="AI72" i="9"/>
  <c r="AI73" i="9"/>
  <c r="AI37" i="9"/>
  <c r="AI75" i="9"/>
  <c r="AI76" i="9"/>
  <c r="AI77" i="9"/>
  <c r="AI78" i="9"/>
  <c r="AI79" i="9"/>
  <c r="AI80" i="9"/>
  <c r="AI81" i="9"/>
  <c r="AI82" i="9"/>
  <c r="AI83" i="9"/>
  <c r="AI84" i="9"/>
  <c r="AI85" i="9"/>
  <c r="AI86" i="9"/>
  <c r="AI87" i="9"/>
  <c r="AI88" i="9"/>
  <c r="AI89" i="9"/>
  <c r="AI90" i="9"/>
  <c r="AI91" i="9"/>
  <c r="AI92" i="9"/>
  <c r="AH31" i="9"/>
  <c r="AH4" i="9"/>
  <c r="AH6" i="9"/>
  <c r="AH8" i="9"/>
  <c r="AH9" i="9"/>
  <c r="AH22" i="9"/>
  <c r="AH34" i="9"/>
  <c r="AH47" i="9"/>
  <c r="AH13" i="9"/>
  <c r="AH14" i="9"/>
  <c r="AH15" i="9"/>
  <c r="AH16" i="9"/>
  <c r="AH10" i="9"/>
  <c r="AH11" i="9"/>
  <c r="AH48" i="9"/>
  <c r="AH23" i="9"/>
  <c r="AH71" i="9"/>
  <c r="AH32" i="9"/>
  <c r="AH21" i="9"/>
  <c r="AH24" i="9"/>
  <c r="AH25" i="9"/>
  <c r="AH19" i="9"/>
  <c r="AH27" i="9"/>
  <c r="AH33" i="9"/>
  <c r="AH74" i="9"/>
  <c r="AH7" i="9"/>
  <c r="AH17" i="9"/>
  <c r="AH18" i="9"/>
  <c r="AH28" i="9"/>
  <c r="AH30" i="9"/>
  <c r="AH35" i="9"/>
  <c r="AH36" i="9"/>
  <c r="AH29" i="9"/>
  <c r="AH38" i="9"/>
  <c r="AH39" i="9"/>
  <c r="AH40" i="9"/>
  <c r="AH41" i="9"/>
  <c r="AH42" i="9"/>
  <c r="AH43" i="9"/>
  <c r="AH44" i="9"/>
  <c r="AH45" i="9"/>
  <c r="AH46" i="9"/>
  <c r="AH5" i="9"/>
  <c r="AH26" i="9"/>
  <c r="AH49" i="9"/>
  <c r="AH50" i="9"/>
  <c r="AH51" i="9"/>
  <c r="AH52" i="9"/>
  <c r="AH53" i="9"/>
  <c r="AH54" i="9"/>
  <c r="AH55" i="9"/>
  <c r="AH56" i="9"/>
  <c r="AH57" i="9"/>
  <c r="AH58" i="9"/>
  <c r="AH59" i="9"/>
  <c r="AH60" i="9"/>
  <c r="AH61" i="9"/>
  <c r="AH62" i="9"/>
  <c r="AH63" i="9"/>
  <c r="AH64" i="9"/>
  <c r="AH65" i="9"/>
  <c r="AH66" i="9"/>
  <c r="AH67" i="9"/>
  <c r="AH68" i="9"/>
  <c r="AH69" i="9"/>
  <c r="AH70" i="9"/>
  <c r="AH20" i="9"/>
  <c r="AH72" i="9"/>
  <c r="AH73" i="9"/>
  <c r="AH37" i="9"/>
  <c r="AH75" i="9"/>
  <c r="AH76" i="9"/>
  <c r="AH77" i="9"/>
  <c r="AH78" i="9"/>
  <c r="AH79" i="9"/>
  <c r="AH80" i="9"/>
  <c r="AH81" i="9"/>
  <c r="AH82" i="9"/>
  <c r="AH83" i="9"/>
  <c r="AH84" i="9"/>
  <c r="AH85" i="9"/>
  <c r="AH86" i="9"/>
  <c r="AH87" i="9"/>
  <c r="AH88" i="9"/>
  <c r="AH89" i="9"/>
  <c r="AH90" i="9"/>
  <c r="AH91" i="9"/>
  <c r="AH92" i="9"/>
  <c r="AG31" i="9"/>
  <c r="AG4" i="9"/>
  <c r="AG6" i="9"/>
  <c r="AG8" i="9"/>
  <c r="AG9" i="9"/>
  <c r="AG22" i="9"/>
  <c r="AG34" i="9"/>
  <c r="AG47" i="9"/>
  <c r="AG13" i="9"/>
  <c r="AG14" i="9"/>
  <c r="AG15" i="9"/>
  <c r="AG16" i="9"/>
  <c r="AG10" i="9"/>
  <c r="AG11" i="9"/>
  <c r="AG48" i="9"/>
  <c r="AG23" i="9"/>
  <c r="AG71" i="9"/>
  <c r="AG32" i="9"/>
  <c r="AG21" i="9"/>
  <c r="AG24" i="9"/>
  <c r="AG25" i="9"/>
  <c r="AG19" i="9"/>
  <c r="AG27" i="9"/>
  <c r="AG33" i="9"/>
  <c r="AG74" i="9"/>
  <c r="AG7" i="9"/>
  <c r="AG17" i="9"/>
  <c r="AG18" i="9"/>
  <c r="AG28" i="9"/>
  <c r="AG30" i="9"/>
  <c r="AG35" i="9"/>
  <c r="AG36" i="9"/>
  <c r="AG29" i="9"/>
  <c r="AG38" i="9"/>
  <c r="AG39" i="9"/>
  <c r="AG40" i="9"/>
  <c r="AG41" i="9"/>
  <c r="AG42" i="9"/>
  <c r="AG43" i="9"/>
  <c r="AG44" i="9"/>
  <c r="AG45" i="9"/>
  <c r="AG46" i="9"/>
  <c r="AG5" i="9"/>
  <c r="AG26" i="9"/>
  <c r="AG49" i="9"/>
  <c r="AG50" i="9"/>
  <c r="AG51" i="9"/>
  <c r="AG52" i="9"/>
  <c r="AG53" i="9"/>
  <c r="AG54" i="9"/>
  <c r="AG55" i="9"/>
  <c r="AG56" i="9"/>
  <c r="AG57" i="9"/>
  <c r="AG58" i="9"/>
  <c r="AG59" i="9"/>
  <c r="AG60" i="9"/>
  <c r="AG61" i="9"/>
  <c r="AG62" i="9"/>
  <c r="AG63" i="9"/>
  <c r="AG64" i="9"/>
  <c r="AG65" i="9"/>
  <c r="AG66" i="9"/>
  <c r="AG67" i="9"/>
  <c r="AG68" i="9"/>
  <c r="AG69" i="9"/>
  <c r="AG70" i="9"/>
  <c r="AG20" i="9"/>
  <c r="AG72" i="9"/>
  <c r="AG73" i="9"/>
  <c r="AG37" i="9"/>
  <c r="AG75" i="9"/>
  <c r="AG76" i="9"/>
  <c r="AG77" i="9"/>
  <c r="AG78" i="9"/>
  <c r="AG79" i="9"/>
  <c r="AG80" i="9"/>
  <c r="AG81" i="9"/>
  <c r="AG82" i="9"/>
  <c r="AG83" i="9"/>
  <c r="AG84" i="9"/>
  <c r="AG85" i="9"/>
  <c r="AG86" i="9"/>
  <c r="AG87" i="9"/>
  <c r="AG88" i="9"/>
  <c r="AG89" i="9"/>
  <c r="AG90" i="9"/>
  <c r="AG91" i="9"/>
  <c r="AG92" i="9"/>
  <c r="AF31" i="9"/>
  <c r="AF4" i="9"/>
  <c r="AF6" i="9"/>
  <c r="AF8" i="9"/>
  <c r="AF9" i="9"/>
  <c r="AF22" i="9"/>
  <c r="AF34" i="9"/>
  <c r="AF47" i="9"/>
  <c r="AF13" i="9"/>
  <c r="AF14" i="9"/>
  <c r="AF15" i="9"/>
  <c r="AF10" i="9"/>
  <c r="AF11" i="9"/>
  <c r="AF48" i="9"/>
  <c r="AF23" i="9"/>
  <c r="AF71" i="9"/>
  <c r="AF32" i="9"/>
  <c r="AF21" i="9"/>
  <c r="AF24" i="9"/>
  <c r="AF25" i="9"/>
  <c r="AF19" i="9"/>
  <c r="AF27" i="9"/>
  <c r="AF33" i="9"/>
  <c r="AF74" i="9"/>
  <c r="AF7" i="9"/>
  <c r="AF17" i="9"/>
  <c r="AF18" i="9"/>
  <c r="AF28" i="9"/>
  <c r="AF30" i="9"/>
  <c r="AF35" i="9"/>
  <c r="AF36" i="9"/>
  <c r="AF29" i="9"/>
  <c r="AF38" i="9"/>
  <c r="AF39" i="9"/>
  <c r="AF40" i="9"/>
  <c r="AF41" i="9"/>
  <c r="AF42" i="9"/>
  <c r="AF43" i="9"/>
  <c r="AF44" i="9"/>
  <c r="AF45" i="9"/>
  <c r="AF46" i="9"/>
  <c r="AF5" i="9"/>
  <c r="AF26" i="9"/>
  <c r="AF49" i="9"/>
  <c r="AF50" i="9"/>
  <c r="AF51" i="9"/>
  <c r="AF52" i="9"/>
  <c r="AF53" i="9"/>
  <c r="AF54" i="9"/>
  <c r="AF55" i="9"/>
  <c r="AF56" i="9"/>
  <c r="AF57" i="9"/>
  <c r="AF58" i="9"/>
  <c r="AF59" i="9"/>
  <c r="AF60" i="9"/>
  <c r="AF61" i="9"/>
  <c r="AF62" i="9"/>
  <c r="AF63" i="9"/>
  <c r="AF64" i="9"/>
  <c r="AF65" i="9"/>
  <c r="AF66" i="9"/>
  <c r="AF67" i="9"/>
  <c r="AF68" i="9"/>
  <c r="AF69" i="9"/>
  <c r="AF70" i="9"/>
  <c r="AF20" i="9"/>
  <c r="AF72" i="9"/>
  <c r="AF73" i="9"/>
  <c r="AF37" i="9"/>
  <c r="AF75" i="9"/>
  <c r="AF76" i="9"/>
  <c r="AF77" i="9"/>
  <c r="AF78" i="9"/>
  <c r="AF79" i="9"/>
  <c r="AF80" i="9"/>
  <c r="AF81" i="9"/>
  <c r="AF82" i="9"/>
  <c r="AF83" i="9"/>
  <c r="AF84" i="9"/>
  <c r="AF85" i="9"/>
  <c r="AF86" i="9"/>
  <c r="AF87" i="9"/>
  <c r="AF88" i="9"/>
  <c r="AF89" i="9"/>
  <c r="AF90" i="9"/>
  <c r="AF91" i="9"/>
  <c r="AF92" i="9"/>
  <c r="D65" i="8"/>
  <c r="M65" i="9" s="1"/>
  <c r="D64" i="8"/>
  <c r="M64" i="9" s="1"/>
  <c r="D63" i="8"/>
  <c r="M63" i="9" s="1"/>
  <c r="D62" i="8"/>
  <c r="M62" i="9" s="1"/>
  <c r="D61" i="8"/>
  <c r="M61" i="9" s="1"/>
  <c r="D60" i="8"/>
  <c r="M60" i="9" s="1"/>
  <c r="D59" i="8"/>
  <c r="M59" i="9" s="1"/>
  <c r="D58" i="8"/>
  <c r="M58" i="9" s="1"/>
  <c r="D57" i="8"/>
  <c r="M57" i="9" s="1"/>
  <c r="C65" i="8"/>
  <c r="L65" i="9" s="1"/>
  <c r="C64" i="8"/>
  <c r="L64" i="9" s="1"/>
  <c r="C63" i="8"/>
  <c r="L63" i="9" s="1"/>
  <c r="C62" i="8"/>
  <c r="L62" i="9" s="1"/>
  <c r="C61" i="8"/>
  <c r="L61" i="9" s="1"/>
  <c r="C60" i="8"/>
  <c r="L60" i="9" s="1"/>
  <c r="C59" i="8"/>
  <c r="L59" i="9" s="1"/>
  <c r="C58" i="8"/>
  <c r="L58" i="9" s="1"/>
  <c r="C57" i="8"/>
  <c r="L57" i="9" s="1"/>
  <c r="D55" i="8"/>
  <c r="M55" i="9" s="1"/>
  <c r="D54" i="8"/>
  <c r="M54" i="9" s="1"/>
  <c r="D53" i="8"/>
  <c r="M53" i="9" s="1"/>
  <c r="D52" i="8"/>
  <c r="M52" i="9" s="1"/>
  <c r="D51" i="8"/>
  <c r="M51" i="9" s="1"/>
  <c r="C55" i="8"/>
  <c r="L55" i="9" s="1"/>
  <c r="C54" i="8"/>
  <c r="L54" i="9" s="1"/>
  <c r="C53" i="8"/>
  <c r="L53" i="9" s="1"/>
  <c r="C52" i="8"/>
  <c r="L52" i="9" s="1"/>
  <c r="C51" i="8"/>
  <c r="L51" i="9" s="1"/>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50" i="8"/>
  <c r="B51" i="8"/>
  <c r="B52" i="8"/>
  <c r="B53" i="8"/>
  <c r="B54" i="8"/>
  <c r="B55" i="8"/>
  <c r="B56" i="8"/>
  <c r="B57" i="8"/>
  <c r="B58" i="8"/>
  <c r="B59" i="8"/>
  <c r="B60" i="8"/>
  <c r="B61" i="8"/>
  <c r="B62" i="8"/>
  <c r="B63" i="8"/>
  <c r="B64" i="8"/>
  <c r="B65" i="8"/>
  <c r="B66" i="8"/>
  <c r="B67" i="8"/>
  <c r="B68" i="8"/>
  <c r="B69" i="8"/>
  <c r="B70" i="8"/>
  <c r="B71" i="8"/>
  <c r="B72" i="8"/>
  <c r="B73" i="8"/>
  <c r="B75" i="8"/>
  <c r="B76" i="8"/>
  <c r="B77" i="8"/>
  <c r="B78" i="8"/>
  <c r="B79" i="8"/>
  <c r="B80" i="8"/>
  <c r="B81" i="8"/>
  <c r="B92" i="9"/>
  <c r="C92" i="9"/>
  <c r="L92" i="9"/>
  <c r="M92" i="9"/>
  <c r="P92" i="9"/>
  <c r="Q92" i="9"/>
  <c r="R92" i="9"/>
  <c r="S92" i="9"/>
  <c r="T92" i="9"/>
  <c r="U92" i="9"/>
  <c r="V92" i="9"/>
  <c r="W92" i="9"/>
  <c r="X92" i="9"/>
  <c r="Y92" i="9"/>
  <c r="Z92" i="9"/>
  <c r="AA92" i="9"/>
  <c r="AB92" i="9"/>
  <c r="AC92" i="9"/>
  <c r="AD92" i="9"/>
  <c r="B91" i="9"/>
  <c r="C91" i="9"/>
  <c r="L91" i="9"/>
  <c r="M91" i="9"/>
  <c r="P91" i="9"/>
  <c r="Q91" i="9"/>
  <c r="R91" i="9"/>
  <c r="S91" i="9"/>
  <c r="T91" i="9"/>
  <c r="U91" i="9"/>
  <c r="V91" i="9"/>
  <c r="W91" i="9"/>
  <c r="X91" i="9"/>
  <c r="Y91" i="9"/>
  <c r="Z91" i="9"/>
  <c r="AA91" i="9"/>
  <c r="AB91" i="9"/>
  <c r="AC91" i="9"/>
  <c r="AD91" i="9"/>
  <c r="B90" i="9"/>
  <c r="C90" i="9"/>
  <c r="L90" i="9"/>
  <c r="M90" i="9"/>
  <c r="P90" i="9"/>
  <c r="Q90" i="9"/>
  <c r="R90" i="9"/>
  <c r="S90" i="9"/>
  <c r="T90" i="9"/>
  <c r="U90" i="9"/>
  <c r="V90" i="9"/>
  <c r="W90" i="9"/>
  <c r="X90" i="9"/>
  <c r="Y90" i="9"/>
  <c r="Z90" i="9"/>
  <c r="AA90" i="9"/>
  <c r="AB90" i="9"/>
  <c r="AC90" i="9"/>
  <c r="AD90" i="9"/>
  <c r="B89" i="9"/>
  <c r="C89" i="9"/>
  <c r="L89" i="9"/>
  <c r="M89" i="9"/>
  <c r="P89" i="9"/>
  <c r="Q89" i="9"/>
  <c r="R89" i="9"/>
  <c r="S89" i="9"/>
  <c r="T89" i="9"/>
  <c r="U89" i="9"/>
  <c r="V89" i="9"/>
  <c r="W89" i="9"/>
  <c r="X89" i="9"/>
  <c r="Y89" i="9"/>
  <c r="Z89" i="9"/>
  <c r="AA89" i="9"/>
  <c r="AB89" i="9"/>
  <c r="AC89" i="9"/>
  <c r="AD89" i="9"/>
  <c r="B88" i="9"/>
  <c r="C88" i="9"/>
  <c r="L88" i="9"/>
  <c r="M88" i="9"/>
  <c r="P88" i="9"/>
  <c r="Q88" i="9"/>
  <c r="R88" i="9"/>
  <c r="S88" i="9"/>
  <c r="T88" i="9"/>
  <c r="U88" i="9"/>
  <c r="V88" i="9"/>
  <c r="W88" i="9"/>
  <c r="X88" i="9"/>
  <c r="Y88" i="9"/>
  <c r="Z88" i="9"/>
  <c r="AA88" i="9"/>
  <c r="AB88" i="9"/>
  <c r="AC88" i="9"/>
  <c r="AD88" i="9"/>
  <c r="B87" i="9"/>
  <c r="C87" i="9"/>
  <c r="L87" i="9"/>
  <c r="M87" i="9"/>
  <c r="P87" i="9"/>
  <c r="Q87" i="9"/>
  <c r="R87" i="9"/>
  <c r="S87" i="9"/>
  <c r="T87" i="9"/>
  <c r="U87" i="9"/>
  <c r="V87" i="9"/>
  <c r="W87" i="9"/>
  <c r="X87" i="9"/>
  <c r="Y87" i="9"/>
  <c r="Z87" i="9"/>
  <c r="AA87" i="9"/>
  <c r="AB87" i="9"/>
  <c r="AC87" i="9"/>
  <c r="AD87" i="9"/>
  <c r="B86" i="9"/>
  <c r="C86" i="9"/>
  <c r="L86" i="9"/>
  <c r="M86" i="9"/>
  <c r="P86" i="9"/>
  <c r="Q86" i="9"/>
  <c r="R86" i="9"/>
  <c r="S86" i="9"/>
  <c r="T86" i="9"/>
  <c r="U86" i="9"/>
  <c r="V86" i="9"/>
  <c r="W86" i="9"/>
  <c r="X86" i="9"/>
  <c r="Y86" i="9"/>
  <c r="Z86" i="9"/>
  <c r="AA86" i="9"/>
  <c r="AB86" i="9"/>
  <c r="AC86" i="9"/>
  <c r="AD86" i="9"/>
  <c r="B85" i="9"/>
  <c r="C85" i="9"/>
  <c r="L85" i="9"/>
  <c r="M85" i="9"/>
  <c r="P85" i="9"/>
  <c r="Q85" i="9"/>
  <c r="R85" i="9"/>
  <c r="S85" i="9"/>
  <c r="T85" i="9"/>
  <c r="U85" i="9"/>
  <c r="V85" i="9"/>
  <c r="W85" i="9"/>
  <c r="X85" i="9"/>
  <c r="Y85" i="9"/>
  <c r="Z85" i="9"/>
  <c r="AA85" i="9"/>
  <c r="AB85" i="9"/>
  <c r="AC85" i="9"/>
  <c r="AD85" i="9"/>
  <c r="B84" i="9"/>
  <c r="C84" i="9"/>
  <c r="L84" i="9"/>
  <c r="M84" i="9"/>
  <c r="P84" i="9"/>
  <c r="Q84" i="9"/>
  <c r="R84" i="9"/>
  <c r="S84" i="9"/>
  <c r="T84" i="9"/>
  <c r="U84" i="9"/>
  <c r="V84" i="9"/>
  <c r="W84" i="9"/>
  <c r="X84" i="9"/>
  <c r="Y84" i="9"/>
  <c r="Z84" i="9"/>
  <c r="AA84" i="9"/>
  <c r="AB84" i="9"/>
  <c r="AC84" i="9"/>
  <c r="AD84" i="9"/>
  <c r="B83" i="9"/>
  <c r="C83" i="9"/>
  <c r="L83" i="9"/>
  <c r="M83" i="9"/>
  <c r="P83" i="9"/>
  <c r="Q83" i="9"/>
  <c r="R83" i="9"/>
  <c r="S83" i="9"/>
  <c r="T83" i="9"/>
  <c r="U83" i="9"/>
  <c r="V83" i="9"/>
  <c r="W83" i="9"/>
  <c r="X83" i="9"/>
  <c r="Y83" i="9"/>
  <c r="Z83" i="9"/>
  <c r="AA83" i="9"/>
  <c r="AB83" i="9"/>
  <c r="AC83" i="9"/>
  <c r="AD83" i="9"/>
  <c r="B82" i="9"/>
  <c r="C82" i="9"/>
  <c r="L82" i="9"/>
  <c r="M82" i="9"/>
  <c r="P82" i="9"/>
  <c r="Q82" i="9"/>
  <c r="R82" i="9"/>
  <c r="S82" i="9"/>
  <c r="T82" i="9"/>
  <c r="U82" i="9"/>
  <c r="V82" i="9"/>
  <c r="W82" i="9"/>
  <c r="X82" i="9"/>
  <c r="Y82" i="9"/>
  <c r="Z82" i="9"/>
  <c r="AA82" i="9"/>
  <c r="AB82" i="9"/>
  <c r="AC82" i="9"/>
  <c r="AD82" i="9"/>
  <c r="B81" i="9"/>
  <c r="C81" i="9"/>
  <c r="L81" i="9"/>
  <c r="M81" i="9"/>
  <c r="P81" i="9"/>
  <c r="Q81" i="9"/>
  <c r="R81" i="9"/>
  <c r="S81" i="9"/>
  <c r="T81" i="9"/>
  <c r="U81" i="9"/>
  <c r="V81" i="9"/>
  <c r="W81" i="9"/>
  <c r="X81" i="9"/>
  <c r="Y81" i="9"/>
  <c r="Z81" i="9"/>
  <c r="AA81" i="9"/>
  <c r="AB81" i="9"/>
  <c r="AC81" i="9"/>
  <c r="AD81" i="9"/>
  <c r="B80" i="9"/>
  <c r="C80" i="9"/>
  <c r="L80" i="9"/>
  <c r="M80" i="9"/>
  <c r="P80" i="9"/>
  <c r="Q80" i="9"/>
  <c r="R80" i="9"/>
  <c r="S80" i="9"/>
  <c r="T80" i="9"/>
  <c r="U80" i="9"/>
  <c r="V80" i="9"/>
  <c r="W80" i="9"/>
  <c r="X80" i="9"/>
  <c r="Y80" i="9"/>
  <c r="Z80" i="9"/>
  <c r="AA80" i="9"/>
  <c r="AB80" i="9"/>
  <c r="AC80" i="9"/>
  <c r="AD80" i="9"/>
  <c r="B79" i="9"/>
  <c r="C79" i="9"/>
  <c r="L79" i="9"/>
  <c r="M79" i="9"/>
  <c r="P79" i="9"/>
  <c r="Q79" i="9"/>
  <c r="R79" i="9"/>
  <c r="S79" i="9"/>
  <c r="T79" i="9"/>
  <c r="U79" i="9"/>
  <c r="V79" i="9"/>
  <c r="W79" i="9"/>
  <c r="X79" i="9"/>
  <c r="Y79" i="9"/>
  <c r="Z79" i="9"/>
  <c r="AA79" i="9"/>
  <c r="AB79" i="9"/>
  <c r="AC79" i="9"/>
  <c r="AD79" i="9"/>
  <c r="B78" i="9"/>
  <c r="C78" i="9"/>
  <c r="L78" i="9"/>
  <c r="M78" i="9"/>
  <c r="P78" i="9"/>
  <c r="Q78" i="9"/>
  <c r="R78" i="9"/>
  <c r="S78" i="9"/>
  <c r="T78" i="9"/>
  <c r="U78" i="9"/>
  <c r="V78" i="9"/>
  <c r="W78" i="9"/>
  <c r="X78" i="9"/>
  <c r="Y78" i="9"/>
  <c r="Z78" i="9"/>
  <c r="AA78" i="9"/>
  <c r="AB78" i="9"/>
  <c r="AC78" i="9"/>
  <c r="AD78" i="9"/>
  <c r="B77" i="9"/>
  <c r="C77" i="9"/>
  <c r="L77" i="9"/>
  <c r="M77" i="9"/>
  <c r="P77" i="9"/>
  <c r="Q77" i="9"/>
  <c r="R77" i="9"/>
  <c r="S77" i="9"/>
  <c r="T77" i="9"/>
  <c r="U77" i="9"/>
  <c r="V77" i="9"/>
  <c r="W77" i="9"/>
  <c r="X77" i="9"/>
  <c r="Y77" i="9"/>
  <c r="Z77" i="9"/>
  <c r="AA77" i="9"/>
  <c r="AB77" i="9"/>
  <c r="AC77" i="9"/>
  <c r="AD77" i="9"/>
  <c r="B76" i="9"/>
  <c r="C76" i="9"/>
  <c r="L76" i="9"/>
  <c r="M76" i="9"/>
  <c r="P76" i="9"/>
  <c r="Q76" i="9"/>
  <c r="R76" i="9"/>
  <c r="S76" i="9"/>
  <c r="T76" i="9"/>
  <c r="U76" i="9"/>
  <c r="V76" i="9"/>
  <c r="W76" i="9"/>
  <c r="X76" i="9"/>
  <c r="Y76" i="9"/>
  <c r="Z76" i="9"/>
  <c r="AA76" i="9"/>
  <c r="AB76" i="9"/>
  <c r="AC76" i="9"/>
  <c r="AD76" i="9"/>
  <c r="B75" i="9"/>
  <c r="C75" i="9"/>
  <c r="L75" i="9"/>
  <c r="M75" i="9"/>
  <c r="P75" i="9"/>
  <c r="Q75" i="9"/>
  <c r="R75" i="9"/>
  <c r="S75" i="9"/>
  <c r="T75" i="9"/>
  <c r="U75" i="9"/>
  <c r="V75" i="9"/>
  <c r="W75" i="9"/>
  <c r="X75" i="9"/>
  <c r="Y75" i="9"/>
  <c r="Z75" i="9"/>
  <c r="AA75" i="9"/>
  <c r="AB75" i="9"/>
  <c r="AC75" i="9"/>
  <c r="AD75" i="9"/>
  <c r="B37" i="9"/>
  <c r="C37" i="9"/>
  <c r="L37" i="9"/>
  <c r="M37" i="9"/>
  <c r="P37" i="9"/>
  <c r="Q37" i="9"/>
  <c r="R37" i="9"/>
  <c r="S37" i="9"/>
  <c r="T37" i="9"/>
  <c r="U37" i="9"/>
  <c r="V37" i="9"/>
  <c r="W37" i="9"/>
  <c r="X37" i="9"/>
  <c r="Y37" i="9"/>
  <c r="Z37" i="9"/>
  <c r="AA37" i="9"/>
  <c r="AB37" i="9"/>
  <c r="AC37" i="9"/>
  <c r="AD37" i="9"/>
  <c r="B73" i="9"/>
  <c r="C73" i="9"/>
  <c r="L73" i="9"/>
  <c r="M73" i="9"/>
  <c r="P73" i="9"/>
  <c r="Q73" i="9"/>
  <c r="R73" i="9"/>
  <c r="S73" i="9"/>
  <c r="T73" i="9"/>
  <c r="U73" i="9"/>
  <c r="V73" i="9"/>
  <c r="W73" i="9"/>
  <c r="X73" i="9"/>
  <c r="Y73" i="9"/>
  <c r="Z73" i="9"/>
  <c r="AA73" i="9"/>
  <c r="AB73" i="9"/>
  <c r="AC73" i="9"/>
  <c r="AD73" i="9"/>
  <c r="B72" i="9"/>
  <c r="C72" i="9"/>
  <c r="L72" i="9"/>
  <c r="M72" i="9"/>
  <c r="P72" i="9"/>
  <c r="Q72" i="9"/>
  <c r="R72" i="9"/>
  <c r="S72" i="9"/>
  <c r="T72" i="9"/>
  <c r="U72" i="9"/>
  <c r="V72" i="9"/>
  <c r="W72" i="9"/>
  <c r="X72" i="9"/>
  <c r="Y72" i="9"/>
  <c r="Z72" i="9"/>
  <c r="AA72" i="9"/>
  <c r="AB72" i="9"/>
  <c r="AC72" i="9"/>
  <c r="AD72" i="9"/>
  <c r="B20" i="9"/>
  <c r="C20" i="9"/>
  <c r="L20" i="9"/>
  <c r="M20" i="9"/>
  <c r="P20" i="9"/>
  <c r="Q20" i="9"/>
  <c r="R20" i="9"/>
  <c r="S20" i="9"/>
  <c r="T20" i="9"/>
  <c r="U20" i="9"/>
  <c r="V20" i="9"/>
  <c r="W20" i="9"/>
  <c r="X20" i="9"/>
  <c r="Y20" i="9"/>
  <c r="Z20" i="9"/>
  <c r="AA20" i="9"/>
  <c r="AB20" i="9"/>
  <c r="AC20" i="9"/>
  <c r="AD20" i="9"/>
  <c r="B70" i="9"/>
  <c r="C70" i="9"/>
  <c r="L70" i="9"/>
  <c r="M70" i="9"/>
  <c r="P70" i="9"/>
  <c r="Q70" i="9"/>
  <c r="R70" i="9"/>
  <c r="S70" i="9"/>
  <c r="T70" i="9"/>
  <c r="U70" i="9"/>
  <c r="V70" i="9"/>
  <c r="W70" i="9"/>
  <c r="X70" i="9"/>
  <c r="Y70" i="9"/>
  <c r="Z70" i="9"/>
  <c r="AA70" i="9"/>
  <c r="AB70" i="9"/>
  <c r="AC70" i="9"/>
  <c r="AD70" i="9"/>
  <c r="B69" i="9"/>
  <c r="C69" i="9"/>
  <c r="L69" i="9"/>
  <c r="M69" i="9"/>
  <c r="P69" i="9"/>
  <c r="Q69" i="9"/>
  <c r="R69" i="9"/>
  <c r="S69" i="9"/>
  <c r="T69" i="9"/>
  <c r="U69" i="9"/>
  <c r="V69" i="9"/>
  <c r="W69" i="9"/>
  <c r="X69" i="9"/>
  <c r="Y69" i="9"/>
  <c r="Z69" i="9"/>
  <c r="AA69" i="9"/>
  <c r="AB69" i="9"/>
  <c r="AC69" i="9"/>
  <c r="AD69" i="9"/>
  <c r="B68" i="9"/>
  <c r="C68" i="9"/>
  <c r="L68" i="9"/>
  <c r="M68" i="9"/>
  <c r="P68" i="9"/>
  <c r="Q68" i="9"/>
  <c r="R68" i="9"/>
  <c r="S68" i="9"/>
  <c r="T68" i="9"/>
  <c r="U68" i="9"/>
  <c r="V68" i="9"/>
  <c r="W68" i="9"/>
  <c r="X68" i="9"/>
  <c r="Y68" i="9"/>
  <c r="Z68" i="9"/>
  <c r="AA68" i="9"/>
  <c r="AB68" i="9"/>
  <c r="AC68" i="9"/>
  <c r="AD68" i="9"/>
  <c r="B67" i="9"/>
  <c r="C67" i="9"/>
  <c r="L67" i="9"/>
  <c r="M67" i="9"/>
  <c r="P67" i="9"/>
  <c r="Q67" i="9"/>
  <c r="R67" i="9"/>
  <c r="S67" i="9"/>
  <c r="T67" i="9"/>
  <c r="U67" i="9"/>
  <c r="V67" i="9"/>
  <c r="W67" i="9"/>
  <c r="X67" i="9"/>
  <c r="Y67" i="9"/>
  <c r="Z67" i="9"/>
  <c r="AA67" i="9"/>
  <c r="AB67" i="9"/>
  <c r="AC67" i="9"/>
  <c r="AD67" i="9"/>
  <c r="B57" i="9"/>
  <c r="B58" i="9"/>
  <c r="B59" i="9"/>
  <c r="B60" i="9"/>
  <c r="B61" i="9"/>
  <c r="B62" i="9"/>
  <c r="B63" i="9"/>
  <c r="B64" i="9"/>
  <c r="B65" i="9"/>
  <c r="B66" i="9"/>
  <c r="C57" i="9"/>
  <c r="C58" i="9"/>
  <c r="C59" i="9"/>
  <c r="C60" i="9"/>
  <c r="C61" i="9"/>
  <c r="C62" i="9"/>
  <c r="C63" i="9"/>
  <c r="C64" i="9"/>
  <c r="C65" i="9"/>
  <c r="C66" i="9"/>
  <c r="L66" i="9"/>
  <c r="M66" i="9"/>
  <c r="P57" i="9"/>
  <c r="P58" i="9"/>
  <c r="P59" i="9"/>
  <c r="P60" i="9"/>
  <c r="P61" i="9"/>
  <c r="P62" i="9"/>
  <c r="P63" i="9"/>
  <c r="P64" i="9"/>
  <c r="P65" i="9"/>
  <c r="P66" i="9"/>
  <c r="Q57" i="9"/>
  <c r="Q58" i="9"/>
  <c r="Q59" i="9"/>
  <c r="Q60" i="9"/>
  <c r="Q61" i="9"/>
  <c r="Q62" i="9"/>
  <c r="Q63" i="9"/>
  <c r="Q64" i="9"/>
  <c r="Q65" i="9"/>
  <c r="Q66" i="9"/>
  <c r="R57" i="9"/>
  <c r="R58" i="9"/>
  <c r="R59" i="9"/>
  <c r="R60" i="9"/>
  <c r="R61" i="9"/>
  <c r="R62" i="9"/>
  <c r="R63" i="9"/>
  <c r="R64" i="9"/>
  <c r="R65" i="9"/>
  <c r="R66" i="9"/>
  <c r="S57" i="9"/>
  <c r="S58" i="9"/>
  <c r="S59" i="9"/>
  <c r="S60" i="9"/>
  <c r="S61" i="9"/>
  <c r="S62" i="9"/>
  <c r="S63" i="9"/>
  <c r="S64" i="9"/>
  <c r="S65" i="9"/>
  <c r="S66" i="9"/>
  <c r="T57" i="9"/>
  <c r="T58" i="9"/>
  <c r="T59" i="9"/>
  <c r="T60" i="9"/>
  <c r="T61" i="9"/>
  <c r="T62" i="9"/>
  <c r="T63" i="9"/>
  <c r="T64" i="9"/>
  <c r="T65" i="9"/>
  <c r="T66" i="9"/>
  <c r="U57" i="9"/>
  <c r="U58" i="9"/>
  <c r="U59" i="9"/>
  <c r="U60" i="9"/>
  <c r="U61" i="9"/>
  <c r="U62" i="9"/>
  <c r="U63" i="9"/>
  <c r="U64" i="9"/>
  <c r="U65" i="9"/>
  <c r="U66" i="9"/>
  <c r="V57" i="9"/>
  <c r="V58" i="9"/>
  <c r="V59" i="9"/>
  <c r="V60" i="9"/>
  <c r="V61" i="9"/>
  <c r="V62" i="9"/>
  <c r="V63" i="9"/>
  <c r="V64" i="9"/>
  <c r="V65" i="9"/>
  <c r="V66" i="9"/>
  <c r="W57" i="9"/>
  <c r="W58" i="9"/>
  <c r="W59" i="9"/>
  <c r="W60" i="9"/>
  <c r="W61" i="9"/>
  <c r="W62" i="9"/>
  <c r="W63" i="9"/>
  <c r="W64" i="9"/>
  <c r="W65" i="9"/>
  <c r="W66" i="9"/>
  <c r="X57" i="9"/>
  <c r="X58" i="9"/>
  <c r="X59" i="9"/>
  <c r="X60" i="9"/>
  <c r="X61" i="9"/>
  <c r="X62" i="9"/>
  <c r="X63" i="9"/>
  <c r="X64" i="9"/>
  <c r="X65" i="9"/>
  <c r="X66" i="9"/>
  <c r="Y57" i="9"/>
  <c r="Y58" i="9"/>
  <c r="Y59" i="9"/>
  <c r="Y60" i="9"/>
  <c r="Y61" i="9"/>
  <c r="Y62" i="9"/>
  <c r="Y63" i="9"/>
  <c r="Y64" i="9"/>
  <c r="Y65" i="9"/>
  <c r="Y66" i="9"/>
  <c r="Z57" i="9"/>
  <c r="Z58" i="9"/>
  <c r="Z59" i="9"/>
  <c r="Z60" i="9"/>
  <c r="Z61" i="9"/>
  <c r="Z62" i="9"/>
  <c r="Z63" i="9"/>
  <c r="Z64" i="9"/>
  <c r="Z65" i="9"/>
  <c r="Z66" i="9"/>
  <c r="AA57" i="9"/>
  <c r="AA58" i="9"/>
  <c r="AA59" i="9"/>
  <c r="AA60" i="9"/>
  <c r="AA61" i="9"/>
  <c r="AA62" i="9"/>
  <c r="AA63" i="9"/>
  <c r="AA64" i="9"/>
  <c r="AA65" i="9"/>
  <c r="AA66" i="9"/>
  <c r="AB57" i="9"/>
  <c r="AB58" i="9"/>
  <c r="AB59" i="9"/>
  <c r="AB60" i="9"/>
  <c r="AB61" i="9"/>
  <c r="AB62" i="9"/>
  <c r="AB63" i="9"/>
  <c r="AB64" i="9"/>
  <c r="AB65" i="9"/>
  <c r="AB66" i="9"/>
  <c r="AC57" i="9"/>
  <c r="AC58" i="9"/>
  <c r="AC59" i="9"/>
  <c r="AC60" i="9"/>
  <c r="AC61" i="9"/>
  <c r="AC62" i="9"/>
  <c r="AC63" i="9"/>
  <c r="AC64" i="9"/>
  <c r="AC65" i="9"/>
  <c r="AC66" i="9"/>
  <c r="AD57" i="9"/>
  <c r="AD58" i="9"/>
  <c r="AD59" i="9"/>
  <c r="AD60" i="9"/>
  <c r="AD61" i="9"/>
  <c r="AD62" i="9"/>
  <c r="AD63" i="9"/>
  <c r="AD64" i="9"/>
  <c r="AD65" i="9"/>
  <c r="AD66" i="9"/>
  <c r="B37" i="6"/>
  <c r="B47" i="6"/>
  <c r="B48" i="6"/>
  <c r="B49" i="6"/>
  <c r="B50" i="6"/>
  <c r="B51" i="6"/>
  <c r="B52" i="6"/>
  <c r="B53" i="6"/>
  <c r="B54" i="6"/>
  <c r="B55" i="6"/>
  <c r="B56" i="9"/>
  <c r="C56" i="9"/>
  <c r="L56" i="9"/>
  <c r="M56" i="9"/>
  <c r="P56" i="9"/>
  <c r="Q56" i="9"/>
  <c r="R56" i="9"/>
  <c r="S56" i="9"/>
  <c r="T56" i="9"/>
  <c r="U56" i="9"/>
  <c r="V56" i="9"/>
  <c r="W56" i="9"/>
  <c r="X56" i="9"/>
  <c r="Y56" i="9"/>
  <c r="Z56" i="9"/>
  <c r="AA56" i="9"/>
  <c r="AB56" i="9"/>
  <c r="AC56" i="9"/>
  <c r="AD56" i="9"/>
  <c r="B55" i="9"/>
  <c r="C55" i="9"/>
  <c r="P55" i="9"/>
  <c r="Q55" i="9"/>
  <c r="R55" i="9"/>
  <c r="S55" i="9"/>
  <c r="T55" i="9"/>
  <c r="U55" i="9"/>
  <c r="V55" i="9"/>
  <c r="W55" i="9"/>
  <c r="X55" i="9"/>
  <c r="Y55" i="9"/>
  <c r="Z55" i="9"/>
  <c r="AA55" i="9"/>
  <c r="AB55" i="9"/>
  <c r="AC55" i="9"/>
  <c r="AD55" i="9"/>
  <c r="B54" i="9"/>
  <c r="C54" i="9"/>
  <c r="P54" i="9"/>
  <c r="Q54" i="9"/>
  <c r="R54" i="9"/>
  <c r="S54" i="9"/>
  <c r="T54" i="9"/>
  <c r="U54" i="9"/>
  <c r="V54" i="9"/>
  <c r="W54" i="9"/>
  <c r="X54" i="9"/>
  <c r="Y54" i="9"/>
  <c r="Z54" i="9"/>
  <c r="AA54" i="9"/>
  <c r="AB54" i="9"/>
  <c r="AC54" i="9"/>
  <c r="AD54" i="9"/>
  <c r="B53" i="9"/>
  <c r="C53" i="9"/>
  <c r="P53" i="9"/>
  <c r="Q53" i="9"/>
  <c r="R53" i="9"/>
  <c r="S53" i="9"/>
  <c r="T53" i="9"/>
  <c r="U53" i="9"/>
  <c r="V53" i="9"/>
  <c r="W53" i="9"/>
  <c r="X53" i="9"/>
  <c r="Y53" i="9"/>
  <c r="Z53" i="9"/>
  <c r="AA53" i="9"/>
  <c r="AB53" i="9"/>
  <c r="AC53" i="9"/>
  <c r="AD53" i="9"/>
  <c r="B52" i="9"/>
  <c r="C52" i="9"/>
  <c r="P52" i="9"/>
  <c r="Q52" i="9"/>
  <c r="R52" i="9"/>
  <c r="S52" i="9"/>
  <c r="T52" i="9"/>
  <c r="U52" i="9"/>
  <c r="V52" i="9"/>
  <c r="W52" i="9"/>
  <c r="X52" i="9"/>
  <c r="Y52" i="9"/>
  <c r="Z52" i="9"/>
  <c r="AA52" i="9"/>
  <c r="AB52" i="9"/>
  <c r="AC52" i="9"/>
  <c r="AD52" i="9"/>
  <c r="B51" i="9"/>
  <c r="C51" i="9"/>
  <c r="P51" i="9"/>
  <c r="Q51" i="9"/>
  <c r="R51" i="9"/>
  <c r="S51" i="9"/>
  <c r="T51" i="9"/>
  <c r="U51" i="9"/>
  <c r="V51" i="9"/>
  <c r="W51" i="9"/>
  <c r="X51" i="9"/>
  <c r="Y51" i="9"/>
  <c r="Z51" i="9"/>
  <c r="AA51" i="9"/>
  <c r="AB51" i="9"/>
  <c r="AC51" i="9"/>
  <c r="AD51" i="9"/>
  <c r="B50" i="9"/>
  <c r="C50" i="9"/>
  <c r="L50" i="9"/>
  <c r="M50" i="9"/>
  <c r="P50" i="9"/>
  <c r="Q50" i="9"/>
  <c r="R50" i="9"/>
  <c r="S50" i="9"/>
  <c r="T50" i="9"/>
  <c r="U50" i="9"/>
  <c r="V50" i="9"/>
  <c r="W50" i="9"/>
  <c r="X50" i="9"/>
  <c r="Y50" i="9"/>
  <c r="Z50" i="9"/>
  <c r="AA50" i="9"/>
  <c r="AB50" i="9"/>
  <c r="AC50" i="9"/>
  <c r="AD50" i="9"/>
  <c r="B49" i="9"/>
  <c r="C49" i="9"/>
  <c r="L49" i="9"/>
  <c r="M49" i="9"/>
  <c r="P49" i="9"/>
  <c r="Q49" i="9"/>
  <c r="R49" i="9"/>
  <c r="S49" i="9"/>
  <c r="T49" i="9"/>
  <c r="U49" i="9"/>
  <c r="V49" i="9"/>
  <c r="W49" i="9"/>
  <c r="X49" i="9"/>
  <c r="Y49" i="9"/>
  <c r="Z49" i="9"/>
  <c r="AA49" i="9"/>
  <c r="AB49" i="9"/>
  <c r="AC49" i="9"/>
  <c r="AD49" i="9"/>
  <c r="B26" i="9"/>
  <c r="C26" i="9"/>
  <c r="L26" i="9"/>
  <c r="M26" i="9"/>
  <c r="P26" i="9"/>
  <c r="Q26" i="9"/>
  <c r="R26" i="9"/>
  <c r="S26" i="9"/>
  <c r="T26" i="9"/>
  <c r="U26" i="9"/>
  <c r="V26" i="9"/>
  <c r="W26" i="9"/>
  <c r="X26" i="9"/>
  <c r="Y26" i="9"/>
  <c r="Z26" i="9"/>
  <c r="AA26" i="9"/>
  <c r="AB26" i="9"/>
  <c r="AC26" i="9"/>
  <c r="AD26" i="9"/>
  <c r="B5" i="9"/>
  <c r="C5" i="9"/>
  <c r="L5" i="9"/>
  <c r="M5" i="9"/>
  <c r="P5" i="9"/>
  <c r="Q5" i="9"/>
  <c r="R5" i="9"/>
  <c r="S5" i="9"/>
  <c r="T5" i="9"/>
  <c r="U5" i="9"/>
  <c r="V5" i="9"/>
  <c r="W5" i="9"/>
  <c r="X5" i="9"/>
  <c r="Y5" i="9"/>
  <c r="Z5" i="9"/>
  <c r="AA5" i="9"/>
  <c r="AB5" i="9"/>
  <c r="AC5" i="9"/>
  <c r="AD5" i="9"/>
  <c r="B46" i="8"/>
  <c r="B47" i="8"/>
  <c r="B48" i="8"/>
  <c r="B38" i="6"/>
  <c r="B39" i="6"/>
  <c r="B40" i="6"/>
  <c r="B41" i="6"/>
  <c r="B42" i="6"/>
  <c r="B43" i="6"/>
  <c r="B44" i="6"/>
  <c r="B45" i="6"/>
  <c r="B46" i="6"/>
  <c r="AK5" i="11"/>
  <c r="AK6" i="11"/>
  <c r="AK7" i="11"/>
  <c r="AK8" i="11"/>
  <c r="AK9" i="11"/>
  <c r="AK10" i="11"/>
  <c r="AK11" i="11"/>
  <c r="AK12" i="11"/>
  <c r="AK13" i="11"/>
  <c r="AK14" i="11"/>
  <c r="AK15" i="11"/>
  <c r="AK16" i="11"/>
  <c r="AK17" i="11"/>
  <c r="AK18" i="11"/>
  <c r="AK19" i="11"/>
  <c r="AK20" i="11"/>
  <c r="AK21" i="11"/>
  <c r="AK22" i="11"/>
  <c r="AK23" i="11"/>
  <c r="AK24" i="11"/>
  <c r="AK25" i="11"/>
  <c r="AK26" i="11"/>
  <c r="AK27" i="11"/>
  <c r="AK28" i="11"/>
  <c r="AK29" i="11"/>
  <c r="AK30" i="11"/>
  <c r="AK31" i="11"/>
  <c r="AK32" i="11"/>
  <c r="AK33" i="11"/>
  <c r="AK34" i="11"/>
  <c r="AK35" i="11"/>
  <c r="AK36" i="11"/>
  <c r="AK37" i="11"/>
  <c r="AK38" i="11"/>
  <c r="AK39" i="11"/>
  <c r="AK40" i="11"/>
  <c r="AK41" i="11"/>
  <c r="AK42" i="11"/>
  <c r="AK43" i="11"/>
  <c r="AK44" i="11"/>
  <c r="AK45" i="11"/>
  <c r="AK46" i="11"/>
  <c r="AK47" i="11"/>
  <c r="AK48" i="11"/>
  <c r="AK49" i="11"/>
  <c r="AK50" i="11"/>
  <c r="AK51" i="11"/>
  <c r="AK52" i="11"/>
  <c r="AK53" i="11"/>
  <c r="AK54" i="11"/>
  <c r="AK55" i="11"/>
  <c r="AK56" i="11"/>
  <c r="AK57" i="11"/>
  <c r="AK58" i="11"/>
  <c r="AK59" i="11"/>
  <c r="AK60" i="11"/>
  <c r="AK61" i="11"/>
  <c r="AK62" i="11"/>
  <c r="AK63" i="11"/>
  <c r="AK64" i="11"/>
  <c r="AK65" i="11"/>
  <c r="AK66" i="11"/>
  <c r="AK67" i="11"/>
  <c r="AK68" i="11"/>
  <c r="AK69" i="11"/>
  <c r="AK70" i="11"/>
  <c r="AK71" i="11"/>
  <c r="AK72" i="11"/>
  <c r="AK73" i="11"/>
  <c r="AK74" i="11"/>
  <c r="AK75" i="11"/>
  <c r="AK76" i="11"/>
  <c r="AK77" i="11"/>
  <c r="AK78" i="11"/>
  <c r="AK79" i="11"/>
  <c r="AK80" i="11"/>
  <c r="AK81" i="11"/>
  <c r="AK82" i="11"/>
  <c r="AK83" i="11"/>
  <c r="AK84" i="11"/>
  <c r="AK85" i="11"/>
  <c r="AK86" i="11"/>
  <c r="AK87" i="11"/>
  <c r="AK88" i="11"/>
  <c r="AK89" i="11"/>
  <c r="AK90" i="11"/>
  <c r="AK91" i="11"/>
  <c r="AK92" i="11"/>
  <c r="AK93" i="11"/>
  <c r="AK94" i="11"/>
  <c r="AK95" i="11"/>
  <c r="AK96" i="11"/>
  <c r="AK97" i="11"/>
  <c r="AK98" i="11"/>
  <c r="AK99" i="11"/>
  <c r="AK100" i="11"/>
  <c r="AK101" i="11"/>
  <c r="AK102" i="11"/>
  <c r="AK103" i="11"/>
  <c r="AK104" i="11"/>
  <c r="AK105" i="11"/>
  <c r="AK106" i="11"/>
  <c r="AK107" i="11"/>
  <c r="AK108" i="11"/>
  <c r="AK109" i="11"/>
  <c r="AK110" i="11"/>
  <c r="AK111" i="11"/>
  <c r="AK112" i="11"/>
  <c r="AK113" i="11"/>
  <c r="AK114" i="11"/>
  <c r="AK115" i="11"/>
  <c r="AK116" i="11"/>
  <c r="AK117" i="11"/>
  <c r="AK118" i="11"/>
  <c r="AK119" i="11"/>
  <c r="AK120" i="11"/>
  <c r="AK121" i="11"/>
  <c r="AK122" i="11"/>
  <c r="AK123" i="11"/>
  <c r="AK124" i="11"/>
  <c r="AK125" i="11"/>
  <c r="AK126" i="11"/>
  <c r="AK127" i="11"/>
  <c r="AK128" i="11"/>
  <c r="AK129" i="11"/>
  <c r="AK130" i="11"/>
  <c r="AK131" i="11"/>
  <c r="AK132" i="11"/>
  <c r="AK133" i="11"/>
  <c r="AK134" i="11"/>
  <c r="AK135" i="11"/>
  <c r="AK136" i="11"/>
  <c r="AK137" i="11"/>
  <c r="AK138" i="11"/>
  <c r="AK139" i="11"/>
  <c r="AK140" i="11"/>
  <c r="AK141" i="11"/>
  <c r="AK142" i="11"/>
  <c r="AK143" i="11"/>
  <c r="AK144" i="11"/>
  <c r="AK145" i="11"/>
  <c r="AK146" i="11"/>
  <c r="AK147" i="11"/>
  <c r="AK148" i="11"/>
  <c r="AK149" i="11"/>
  <c r="AK150" i="11"/>
  <c r="AK151" i="11"/>
  <c r="AK152" i="11"/>
  <c r="AK153" i="11"/>
  <c r="AK154" i="11"/>
  <c r="AK155" i="11"/>
  <c r="AK156" i="11"/>
  <c r="AK157" i="11"/>
  <c r="AK158" i="11"/>
  <c r="AK159" i="11"/>
  <c r="AK160" i="11"/>
  <c r="AK161" i="11"/>
  <c r="AK162" i="11"/>
  <c r="AK163" i="11"/>
  <c r="AK164" i="11"/>
  <c r="AK165" i="11"/>
  <c r="AK166" i="11"/>
  <c r="AK167" i="11"/>
  <c r="AK168" i="11"/>
  <c r="AK169" i="11"/>
  <c r="AK170" i="11"/>
  <c r="AK171" i="11"/>
  <c r="AK172" i="11"/>
  <c r="AK173" i="11"/>
  <c r="AK174" i="11"/>
  <c r="AK175" i="11"/>
  <c r="AK176" i="11"/>
  <c r="AK177" i="11"/>
  <c r="AK178" i="11"/>
  <c r="AK179" i="11"/>
  <c r="AK180" i="11"/>
  <c r="AK181" i="11"/>
  <c r="AK182" i="11"/>
  <c r="AK183" i="11"/>
  <c r="AK184" i="11"/>
  <c r="AK185" i="11"/>
  <c r="AK186" i="11"/>
  <c r="AK187" i="11"/>
  <c r="AK188" i="11"/>
  <c r="AK189" i="11"/>
  <c r="AK190" i="11"/>
  <c r="AK191" i="11"/>
  <c r="AK192" i="11"/>
  <c r="AK193" i="11"/>
  <c r="AK194" i="11"/>
  <c r="AK195" i="11"/>
  <c r="AK196" i="11"/>
  <c r="AK197" i="11"/>
  <c r="AK198" i="11"/>
  <c r="AK199" i="11"/>
  <c r="AK200" i="11"/>
  <c r="AK201" i="11"/>
  <c r="AK202" i="11"/>
  <c r="AK203" i="11"/>
  <c r="AK204" i="11"/>
  <c r="AK205" i="11"/>
  <c r="AK206" i="11"/>
  <c r="AK207" i="11"/>
  <c r="AK208" i="11"/>
  <c r="AK209" i="11"/>
  <c r="AK210" i="11"/>
  <c r="AK211" i="11"/>
  <c r="AK212" i="11"/>
  <c r="AK213" i="11"/>
  <c r="AK214" i="11"/>
  <c r="AK215" i="11"/>
  <c r="AK216" i="11"/>
  <c r="AK217" i="11"/>
  <c r="AK218" i="11"/>
  <c r="AK219" i="11"/>
  <c r="AK220" i="11"/>
  <c r="AK221" i="11"/>
  <c r="AK222" i="11"/>
  <c r="AK223" i="11"/>
  <c r="AK224" i="11"/>
  <c r="AK225" i="11"/>
  <c r="AK226" i="11"/>
  <c r="AK227" i="11"/>
  <c r="AK228" i="11"/>
  <c r="AK229" i="11"/>
  <c r="AK230" i="11"/>
  <c r="AK231" i="11"/>
  <c r="AK232" i="11"/>
  <c r="AK233" i="11"/>
  <c r="AK234" i="11"/>
  <c r="AK235" i="11"/>
  <c r="AK236" i="11"/>
  <c r="AK237" i="11"/>
  <c r="AK238" i="11"/>
  <c r="AK239" i="11"/>
  <c r="AK240" i="11"/>
  <c r="AK241" i="11"/>
  <c r="AK242" i="11"/>
  <c r="AK243" i="11"/>
  <c r="AK244" i="11"/>
  <c r="AK245" i="11"/>
  <c r="AK246" i="11"/>
  <c r="AK247" i="11"/>
  <c r="AK248" i="11"/>
  <c r="AK249" i="11"/>
  <c r="AK250" i="11"/>
  <c r="AK251" i="11"/>
  <c r="AK252" i="11"/>
  <c r="AK253" i="11"/>
  <c r="AK254" i="11"/>
  <c r="AK255" i="11"/>
  <c r="AK256" i="11"/>
  <c r="AK257" i="11"/>
  <c r="AK258" i="11"/>
  <c r="AK259" i="11"/>
  <c r="AK260" i="11"/>
  <c r="AK261" i="11"/>
  <c r="AK262" i="11"/>
  <c r="AK263" i="11"/>
  <c r="AK264" i="11"/>
  <c r="AK265" i="11"/>
  <c r="AK266" i="11"/>
  <c r="AK267" i="11"/>
  <c r="AK268" i="11"/>
  <c r="AK269" i="11"/>
  <c r="AK270" i="11"/>
  <c r="AK271" i="11"/>
  <c r="AK272" i="11"/>
  <c r="AK273" i="11"/>
  <c r="AK274" i="11"/>
  <c r="AK275" i="11"/>
  <c r="AK276" i="11"/>
  <c r="AK277" i="11"/>
  <c r="AK278" i="11"/>
  <c r="AK279" i="11"/>
  <c r="AK280" i="11"/>
  <c r="AK281" i="11"/>
  <c r="AK282" i="11"/>
  <c r="AK283" i="11"/>
  <c r="AK284" i="11"/>
  <c r="AK285" i="11"/>
  <c r="AK286" i="11"/>
  <c r="AK287" i="11"/>
  <c r="AK288" i="11"/>
  <c r="AK289" i="11"/>
  <c r="AK290" i="11"/>
  <c r="AK291" i="11"/>
  <c r="AK292" i="11"/>
  <c r="AK293" i="11"/>
  <c r="AK294" i="11"/>
  <c r="AK295" i="11"/>
  <c r="AK296" i="11"/>
  <c r="AK297" i="11"/>
  <c r="AK298" i="11"/>
  <c r="AK299" i="11"/>
  <c r="AK300" i="11"/>
  <c r="AK301" i="11"/>
  <c r="AK302" i="11"/>
  <c r="AK303" i="11"/>
  <c r="AK304" i="11"/>
  <c r="AK305" i="11"/>
  <c r="AK306" i="11"/>
  <c r="AI7" i="11"/>
  <c r="B42" i="8"/>
  <c r="B43" i="8"/>
  <c r="B44" i="8"/>
  <c r="B45" i="8"/>
  <c r="B46" i="9"/>
  <c r="C46" i="9"/>
  <c r="L46" i="9"/>
  <c r="M46" i="9"/>
  <c r="P46" i="9"/>
  <c r="Q46" i="9"/>
  <c r="R46" i="9"/>
  <c r="S46" i="9"/>
  <c r="T46" i="9"/>
  <c r="U46" i="9"/>
  <c r="V46" i="9"/>
  <c r="W46" i="9"/>
  <c r="X46" i="9"/>
  <c r="Y46" i="9"/>
  <c r="Z46" i="9"/>
  <c r="AA46" i="9"/>
  <c r="AB46" i="9"/>
  <c r="AC46" i="9"/>
  <c r="AD46" i="9"/>
  <c r="B45" i="9"/>
  <c r="C45" i="9"/>
  <c r="P45" i="9"/>
  <c r="Q45" i="9"/>
  <c r="R45" i="9"/>
  <c r="S45" i="9"/>
  <c r="T45" i="9"/>
  <c r="U45" i="9"/>
  <c r="V45" i="9"/>
  <c r="W45" i="9"/>
  <c r="X45" i="9"/>
  <c r="Y45" i="9"/>
  <c r="Z45" i="9"/>
  <c r="AA45" i="9"/>
  <c r="AB45" i="9"/>
  <c r="AC45" i="9"/>
  <c r="AD45" i="9"/>
  <c r="B44" i="9"/>
  <c r="C44" i="9"/>
  <c r="P44" i="9"/>
  <c r="Q44" i="9"/>
  <c r="R44" i="9"/>
  <c r="S44" i="9"/>
  <c r="T44" i="9"/>
  <c r="U44" i="9"/>
  <c r="V44" i="9"/>
  <c r="W44" i="9"/>
  <c r="X44" i="9"/>
  <c r="Y44" i="9"/>
  <c r="Z44" i="9"/>
  <c r="AA44" i="9"/>
  <c r="AB44" i="9"/>
  <c r="AC44" i="9"/>
  <c r="AD44" i="9"/>
  <c r="B43" i="9"/>
  <c r="C43" i="9"/>
  <c r="L43" i="9"/>
  <c r="M43" i="9"/>
  <c r="P43" i="9"/>
  <c r="Q43" i="9"/>
  <c r="R43" i="9"/>
  <c r="S43" i="9"/>
  <c r="T43" i="9"/>
  <c r="U43" i="9"/>
  <c r="V43" i="9"/>
  <c r="W43" i="9"/>
  <c r="X43" i="9"/>
  <c r="Y43" i="9"/>
  <c r="Z43" i="9"/>
  <c r="AA43" i="9"/>
  <c r="AB43" i="9"/>
  <c r="AC43" i="9"/>
  <c r="AD43" i="9"/>
  <c r="T38" i="11"/>
  <c r="R38" i="11"/>
  <c r="B40" i="9"/>
  <c r="B41" i="9"/>
  <c r="B42" i="9"/>
  <c r="C40" i="9"/>
  <c r="C41" i="9"/>
  <c r="C42" i="9"/>
  <c r="M41" i="9"/>
  <c r="P40" i="9"/>
  <c r="P41" i="9"/>
  <c r="P42" i="9"/>
  <c r="Q40" i="9"/>
  <c r="Q41" i="9"/>
  <c r="Q42" i="9"/>
  <c r="R40" i="9"/>
  <c r="R41" i="9"/>
  <c r="R42" i="9"/>
  <c r="S40" i="9"/>
  <c r="S41" i="9"/>
  <c r="S42" i="9"/>
  <c r="T40" i="9"/>
  <c r="T41" i="9"/>
  <c r="T42" i="9"/>
  <c r="U40" i="9"/>
  <c r="U41" i="9"/>
  <c r="U42" i="9"/>
  <c r="V40" i="9"/>
  <c r="V41" i="9"/>
  <c r="V42" i="9"/>
  <c r="W40" i="9"/>
  <c r="W41" i="9"/>
  <c r="W42" i="9"/>
  <c r="X40" i="9"/>
  <c r="X41" i="9"/>
  <c r="X42" i="9"/>
  <c r="Y40" i="9"/>
  <c r="Y41" i="9"/>
  <c r="Y42" i="9"/>
  <c r="Z40" i="9"/>
  <c r="Z41" i="9"/>
  <c r="Z42" i="9"/>
  <c r="AA40" i="9"/>
  <c r="AA41" i="9"/>
  <c r="AA42" i="9"/>
  <c r="AB40" i="9"/>
  <c r="AB41" i="9"/>
  <c r="AB42" i="9"/>
  <c r="AC40" i="9"/>
  <c r="AC41" i="9"/>
  <c r="AC42" i="9"/>
  <c r="AD40" i="9"/>
  <c r="AD41" i="9"/>
  <c r="AD42" i="9"/>
  <c r="T5" i="11"/>
  <c r="T6" i="11"/>
  <c r="T7" i="11"/>
  <c r="T8" i="11"/>
  <c r="T9" i="11"/>
  <c r="T10" i="11"/>
  <c r="T11" i="11"/>
  <c r="T12" i="11"/>
  <c r="T13" i="11"/>
  <c r="T14" i="11"/>
  <c r="T15" i="11"/>
  <c r="T16" i="11"/>
  <c r="T17" i="11"/>
  <c r="T18" i="11"/>
  <c r="T19" i="11"/>
  <c r="T20" i="11"/>
  <c r="T21" i="11"/>
  <c r="T22" i="11"/>
  <c r="T23" i="11"/>
  <c r="T24" i="11"/>
  <c r="T25" i="11"/>
  <c r="T26" i="11"/>
  <c r="T27" i="11"/>
  <c r="T28" i="11"/>
  <c r="T29" i="11"/>
  <c r="T30" i="11"/>
  <c r="T31" i="11"/>
  <c r="T32" i="11"/>
  <c r="T33" i="11"/>
  <c r="T34" i="11"/>
  <c r="T35" i="11"/>
  <c r="T36" i="11"/>
  <c r="T37" i="11"/>
  <c r="T41" i="11"/>
  <c r="T39" i="11"/>
  <c r="T40" i="11"/>
  <c r="T42" i="11"/>
  <c r="T43" i="11"/>
  <c r="T44" i="11"/>
  <c r="T45" i="11"/>
  <c r="T46" i="11"/>
  <c r="T47" i="11"/>
  <c r="T48" i="11"/>
  <c r="T49" i="11"/>
  <c r="T50" i="11"/>
  <c r="T51" i="11"/>
  <c r="T52" i="11"/>
  <c r="T53" i="11"/>
  <c r="T54" i="11"/>
  <c r="T55" i="11"/>
  <c r="T56" i="11"/>
  <c r="T57" i="11"/>
  <c r="T58" i="11"/>
  <c r="T59" i="11"/>
  <c r="T60" i="11"/>
  <c r="T61" i="11"/>
  <c r="T62" i="11"/>
  <c r="T63" i="11"/>
  <c r="T64" i="11"/>
  <c r="T65" i="11"/>
  <c r="T66" i="11"/>
  <c r="T67" i="11"/>
  <c r="T68" i="11"/>
  <c r="T69" i="11"/>
  <c r="T70" i="11"/>
  <c r="T71" i="11"/>
  <c r="T72" i="11"/>
  <c r="T73" i="11"/>
  <c r="T74" i="11"/>
  <c r="T75" i="11"/>
  <c r="T76" i="11"/>
  <c r="T77" i="11"/>
  <c r="T78" i="11"/>
  <c r="T79" i="11"/>
  <c r="T80" i="11"/>
  <c r="T81" i="11"/>
  <c r="T82" i="11"/>
  <c r="T83" i="11"/>
  <c r="T84" i="11"/>
  <c r="T85" i="11"/>
  <c r="T86" i="11"/>
  <c r="T87" i="11"/>
  <c r="T88" i="11"/>
  <c r="T89" i="11"/>
  <c r="T90" i="11"/>
  <c r="T91" i="11"/>
  <c r="T92" i="11"/>
  <c r="T93" i="11"/>
  <c r="T94" i="11"/>
  <c r="T95" i="11"/>
  <c r="T96" i="11"/>
  <c r="T97" i="11"/>
  <c r="T98" i="11"/>
  <c r="T99" i="11"/>
  <c r="T100" i="11"/>
  <c r="T101" i="11"/>
  <c r="T102" i="11"/>
  <c r="T103" i="11"/>
  <c r="T104" i="11"/>
  <c r="T105" i="11"/>
  <c r="T106" i="11"/>
  <c r="T107" i="11"/>
  <c r="T108" i="11"/>
  <c r="T109" i="11"/>
  <c r="T110" i="11"/>
  <c r="T111" i="11"/>
  <c r="T112" i="11"/>
  <c r="T113" i="11"/>
  <c r="T114" i="11"/>
  <c r="T115" i="11"/>
  <c r="T116" i="11"/>
  <c r="T117" i="11"/>
  <c r="T118" i="11"/>
  <c r="T119" i="11"/>
  <c r="T120" i="11"/>
  <c r="T121" i="11"/>
  <c r="T122" i="11"/>
  <c r="T123" i="11"/>
  <c r="T124" i="11"/>
  <c r="T125" i="11"/>
  <c r="T126" i="11"/>
  <c r="T127" i="11"/>
  <c r="T128" i="11"/>
  <c r="T129" i="11"/>
  <c r="T130" i="11"/>
  <c r="T131" i="11"/>
  <c r="T132" i="11"/>
  <c r="T133" i="11"/>
  <c r="T134" i="11"/>
  <c r="T135" i="11"/>
  <c r="T136" i="11"/>
  <c r="T137" i="11"/>
  <c r="T138" i="11"/>
  <c r="T139" i="11"/>
  <c r="T140" i="11"/>
  <c r="T141" i="11"/>
  <c r="T142" i="11"/>
  <c r="T143" i="11"/>
  <c r="T144" i="11"/>
  <c r="T145" i="11"/>
  <c r="T146" i="11"/>
  <c r="T147" i="11"/>
  <c r="T148" i="11"/>
  <c r="T149" i="11"/>
  <c r="T150" i="11"/>
  <c r="T151" i="11"/>
  <c r="T152" i="11"/>
  <c r="T153" i="11"/>
  <c r="T154" i="11"/>
  <c r="T155" i="11"/>
  <c r="T156" i="11"/>
  <c r="T157" i="11"/>
  <c r="T158" i="11"/>
  <c r="T159" i="11"/>
  <c r="T160" i="11"/>
  <c r="T161" i="11"/>
  <c r="T162" i="11"/>
  <c r="T163" i="11"/>
  <c r="T164" i="11"/>
  <c r="T165" i="11"/>
  <c r="T166" i="11"/>
  <c r="T167" i="11"/>
  <c r="T168" i="11"/>
  <c r="T169" i="11"/>
  <c r="T170" i="11"/>
  <c r="T171" i="11"/>
  <c r="T172" i="11"/>
  <c r="T173" i="11"/>
  <c r="T174" i="11"/>
  <c r="T175" i="11"/>
  <c r="T176" i="11"/>
  <c r="T177" i="11"/>
  <c r="T178" i="11"/>
  <c r="T179" i="11"/>
  <c r="T180" i="11"/>
  <c r="T181" i="11"/>
  <c r="T182" i="11"/>
  <c r="T183" i="11"/>
  <c r="T184" i="11"/>
  <c r="T185" i="11"/>
  <c r="T186" i="11"/>
  <c r="T187" i="11"/>
  <c r="T188" i="11"/>
  <c r="T189" i="11"/>
  <c r="T190" i="11"/>
  <c r="T191" i="11"/>
  <c r="T192" i="11"/>
  <c r="T193" i="11"/>
  <c r="T194" i="11"/>
  <c r="T195" i="11"/>
  <c r="T196" i="11"/>
  <c r="T197" i="11"/>
  <c r="T198" i="11"/>
  <c r="T199" i="11"/>
  <c r="T200" i="11"/>
  <c r="T201" i="11"/>
  <c r="T202" i="11"/>
  <c r="T203" i="11"/>
  <c r="T204" i="11"/>
  <c r="T205" i="11"/>
  <c r="T206" i="11"/>
  <c r="T207" i="11"/>
  <c r="T208" i="11"/>
  <c r="T209" i="11"/>
  <c r="T210" i="11"/>
  <c r="T211" i="11"/>
  <c r="T212" i="11"/>
  <c r="T213" i="11"/>
  <c r="T214" i="11"/>
  <c r="T215" i="11"/>
  <c r="T216" i="11"/>
  <c r="T217" i="11"/>
  <c r="T218" i="11"/>
  <c r="T219" i="11"/>
  <c r="T220" i="11"/>
  <c r="T221" i="11"/>
  <c r="T222" i="11"/>
  <c r="T223" i="11"/>
  <c r="T224" i="11"/>
  <c r="T225" i="11"/>
  <c r="T226" i="11"/>
  <c r="T227" i="11"/>
  <c r="T228" i="11"/>
  <c r="T229" i="11"/>
  <c r="T230" i="11"/>
  <c r="T231" i="11"/>
  <c r="T232" i="11"/>
  <c r="T233" i="11"/>
  <c r="T234" i="11"/>
  <c r="T235" i="11"/>
  <c r="T236" i="11"/>
  <c r="T237" i="11"/>
  <c r="T238" i="11"/>
  <c r="T239" i="11"/>
  <c r="T240" i="11"/>
  <c r="T241" i="11"/>
  <c r="T242" i="11"/>
  <c r="T243" i="11"/>
  <c r="T244" i="11"/>
  <c r="T245" i="11"/>
  <c r="T246" i="11"/>
  <c r="T247" i="11"/>
  <c r="T248" i="11"/>
  <c r="T249" i="11"/>
  <c r="T250" i="11"/>
  <c r="T251" i="11"/>
  <c r="T252" i="11"/>
  <c r="T253" i="11"/>
  <c r="T254" i="11"/>
  <c r="T255" i="11"/>
  <c r="T256" i="11"/>
  <c r="T257" i="11"/>
  <c r="T258" i="11"/>
  <c r="T259" i="11"/>
  <c r="T260" i="11"/>
  <c r="T261" i="11"/>
  <c r="T262" i="11"/>
  <c r="T263" i="11"/>
  <c r="T264" i="11"/>
  <c r="T265" i="11"/>
  <c r="T266" i="11"/>
  <c r="T267" i="11"/>
  <c r="T268" i="11"/>
  <c r="T269" i="11"/>
  <c r="T270" i="11"/>
  <c r="T271" i="11"/>
  <c r="T272" i="11"/>
  <c r="T273" i="11"/>
  <c r="T274" i="11"/>
  <c r="T275" i="11"/>
  <c r="T276" i="11"/>
  <c r="T277" i="11"/>
  <c r="T278" i="11"/>
  <c r="T279" i="11"/>
  <c r="T280" i="11"/>
  <c r="T281" i="11"/>
  <c r="T282" i="11"/>
  <c r="T283" i="11"/>
  <c r="T284" i="11"/>
  <c r="T285" i="11"/>
  <c r="T286" i="11"/>
  <c r="T287" i="11"/>
  <c r="T288" i="11"/>
  <c r="T289" i="11"/>
  <c r="T290" i="11"/>
  <c r="T291" i="11"/>
  <c r="T292" i="11"/>
  <c r="T293" i="11"/>
  <c r="T294" i="11"/>
  <c r="T295" i="11"/>
  <c r="T296" i="11"/>
  <c r="T297" i="11"/>
  <c r="T298" i="11"/>
  <c r="T299" i="11"/>
  <c r="T300" i="11"/>
  <c r="T301" i="11"/>
  <c r="T302" i="11"/>
  <c r="T303" i="11"/>
  <c r="T304" i="11"/>
  <c r="T305" i="11"/>
  <c r="T306" i="11"/>
  <c r="R5" i="11"/>
  <c r="R6" i="11"/>
  <c r="R7" i="11"/>
  <c r="R8" i="11"/>
  <c r="R9" i="11"/>
  <c r="R10" i="11"/>
  <c r="R11" i="11"/>
  <c r="R12" i="11"/>
  <c r="R13" i="11"/>
  <c r="R14" i="11"/>
  <c r="R15" i="11"/>
  <c r="R16" i="11"/>
  <c r="R17" i="11"/>
  <c r="R18" i="11"/>
  <c r="R19" i="11"/>
  <c r="R20" i="11"/>
  <c r="R21" i="11"/>
  <c r="R22" i="11"/>
  <c r="R23" i="11"/>
  <c r="R24" i="11"/>
  <c r="R25" i="11"/>
  <c r="R26" i="11"/>
  <c r="R27" i="11"/>
  <c r="R28" i="11"/>
  <c r="R29" i="11"/>
  <c r="R30" i="11"/>
  <c r="R31" i="11"/>
  <c r="R32" i="11"/>
  <c r="R33" i="11"/>
  <c r="R34" i="11"/>
  <c r="R35" i="11"/>
  <c r="R36" i="11"/>
  <c r="R37" i="11"/>
  <c r="R41" i="11"/>
  <c r="R39" i="11"/>
  <c r="R40" i="11"/>
  <c r="R42" i="11"/>
  <c r="R43" i="11"/>
  <c r="R44" i="11"/>
  <c r="R45" i="11"/>
  <c r="R46" i="11"/>
  <c r="R47" i="11"/>
  <c r="R48" i="11"/>
  <c r="R49" i="11"/>
  <c r="R50" i="11"/>
  <c r="R51" i="11"/>
  <c r="R52" i="11"/>
  <c r="R53" i="11"/>
  <c r="R54" i="11"/>
  <c r="R55" i="11"/>
  <c r="R56" i="11"/>
  <c r="R57" i="11"/>
  <c r="R58" i="11"/>
  <c r="R59" i="11"/>
  <c r="R60" i="11"/>
  <c r="R61" i="11"/>
  <c r="R62" i="11"/>
  <c r="R63" i="11"/>
  <c r="R64" i="11"/>
  <c r="R65" i="11"/>
  <c r="R66" i="11"/>
  <c r="R67" i="11"/>
  <c r="R68" i="11"/>
  <c r="R69" i="11"/>
  <c r="R70" i="11"/>
  <c r="R71" i="11"/>
  <c r="R72" i="11"/>
  <c r="R73" i="11"/>
  <c r="R74" i="11"/>
  <c r="R75" i="11"/>
  <c r="R76" i="11"/>
  <c r="R77" i="11"/>
  <c r="R78" i="11"/>
  <c r="R79" i="11"/>
  <c r="R80" i="11"/>
  <c r="R81" i="11"/>
  <c r="R82" i="11"/>
  <c r="R83" i="11"/>
  <c r="R84" i="11"/>
  <c r="R85" i="11"/>
  <c r="R86" i="11"/>
  <c r="R87" i="11"/>
  <c r="R88" i="11"/>
  <c r="R89" i="11"/>
  <c r="R90" i="11"/>
  <c r="R91" i="11"/>
  <c r="R92" i="11"/>
  <c r="R93" i="11"/>
  <c r="R94" i="11"/>
  <c r="R95" i="11"/>
  <c r="R96" i="11"/>
  <c r="R97" i="11"/>
  <c r="R98" i="11"/>
  <c r="R99" i="11"/>
  <c r="R100" i="11"/>
  <c r="R101" i="11"/>
  <c r="R102" i="11"/>
  <c r="R103" i="11"/>
  <c r="R104" i="11"/>
  <c r="R105" i="11"/>
  <c r="R106" i="11"/>
  <c r="R107" i="11"/>
  <c r="R108" i="11"/>
  <c r="R109" i="11"/>
  <c r="R110" i="11"/>
  <c r="R111" i="11"/>
  <c r="R112" i="11"/>
  <c r="R113" i="11"/>
  <c r="R114" i="11"/>
  <c r="R115" i="11"/>
  <c r="R116" i="11"/>
  <c r="R117" i="11"/>
  <c r="R118" i="11"/>
  <c r="R119" i="11"/>
  <c r="R120" i="11"/>
  <c r="R121" i="11"/>
  <c r="R122" i="11"/>
  <c r="R123" i="11"/>
  <c r="R124" i="11"/>
  <c r="R125" i="11"/>
  <c r="R126" i="11"/>
  <c r="R127" i="11"/>
  <c r="R128" i="11"/>
  <c r="R129" i="11"/>
  <c r="R130" i="11"/>
  <c r="R131" i="11"/>
  <c r="R132" i="11"/>
  <c r="R133" i="11"/>
  <c r="R134" i="11"/>
  <c r="R135" i="11"/>
  <c r="R136" i="11"/>
  <c r="R137" i="11"/>
  <c r="R138" i="11"/>
  <c r="R139" i="11"/>
  <c r="R140" i="11"/>
  <c r="R141" i="11"/>
  <c r="R142" i="11"/>
  <c r="R143" i="11"/>
  <c r="R144" i="11"/>
  <c r="R145" i="11"/>
  <c r="R146" i="11"/>
  <c r="R147" i="11"/>
  <c r="R148" i="11"/>
  <c r="R149" i="11"/>
  <c r="R150" i="11"/>
  <c r="R151" i="11"/>
  <c r="R152" i="11"/>
  <c r="R153" i="11"/>
  <c r="R154" i="11"/>
  <c r="R155" i="11"/>
  <c r="R156" i="11"/>
  <c r="R157" i="11"/>
  <c r="R158" i="11"/>
  <c r="R159" i="11"/>
  <c r="R160" i="11"/>
  <c r="R161" i="11"/>
  <c r="R162" i="11"/>
  <c r="R163" i="11"/>
  <c r="R164" i="11"/>
  <c r="R165" i="11"/>
  <c r="R166" i="11"/>
  <c r="R167" i="11"/>
  <c r="R168" i="11"/>
  <c r="R169" i="11"/>
  <c r="R170" i="11"/>
  <c r="R171" i="11"/>
  <c r="R172" i="11"/>
  <c r="R173" i="11"/>
  <c r="R174" i="11"/>
  <c r="R175" i="11"/>
  <c r="R176" i="11"/>
  <c r="R177" i="11"/>
  <c r="R178" i="11"/>
  <c r="R179" i="11"/>
  <c r="R180" i="11"/>
  <c r="R181" i="11"/>
  <c r="R182" i="11"/>
  <c r="R183" i="11"/>
  <c r="R184" i="11"/>
  <c r="R185" i="11"/>
  <c r="R186" i="11"/>
  <c r="R187" i="11"/>
  <c r="R188" i="11"/>
  <c r="R189" i="11"/>
  <c r="R190" i="11"/>
  <c r="R191" i="11"/>
  <c r="R192" i="11"/>
  <c r="R193" i="11"/>
  <c r="R194" i="11"/>
  <c r="R195" i="11"/>
  <c r="R196" i="11"/>
  <c r="R197" i="11"/>
  <c r="R198" i="11"/>
  <c r="R199" i="11"/>
  <c r="R200" i="11"/>
  <c r="R201" i="11"/>
  <c r="R202" i="11"/>
  <c r="R203" i="11"/>
  <c r="R204" i="11"/>
  <c r="R205" i="11"/>
  <c r="R206" i="11"/>
  <c r="R207" i="11"/>
  <c r="R208" i="11"/>
  <c r="R209" i="11"/>
  <c r="R210" i="11"/>
  <c r="R211" i="11"/>
  <c r="R212" i="11"/>
  <c r="R213" i="11"/>
  <c r="R214" i="11"/>
  <c r="R215" i="11"/>
  <c r="R216" i="11"/>
  <c r="R217" i="11"/>
  <c r="R218" i="11"/>
  <c r="R219" i="11"/>
  <c r="R220" i="11"/>
  <c r="R221" i="11"/>
  <c r="R222" i="11"/>
  <c r="R223" i="11"/>
  <c r="R224" i="11"/>
  <c r="R225" i="11"/>
  <c r="R226" i="11"/>
  <c r="R227" i="11"/>
  <c r="R228" i="11"/>
  <c r="R229" i="11"/>
  <c r="R230" i="11"/>
  <c r="R231" i="11"/>
  <c r="R232" i="11"/>
  <c r="R233" i="11"/>
  <c r="R234" i="11"/>
  <c r="R235" i="11"/>
  <c r="R236" i="11"/>
  <c r="R237" i="11"/>
  <c r="R238" i="11"/>
  <c r="R239" i="11"/>
  <c r="R240" i="11"/>
  <c r="R241" i="11"/>
  <c r="R242" i="11"/>
  <c r="R243" i="11"/>
  <c r="R244" i="11"/>
  <c r="R245" i="11"/>
  <c r="R246" i="11"/>
  <c r="R247" i="11"/>
  <c r="R248" i="11"/>
  <c r="R249" i="11"/>
  <c r="R250" i="11"/>
  <c r="R251" i="11"/>
  <c r="R252" i="11"/>
  <c r="R253" i="11"/>
  <c r="R254" i="11"/>
  <c r="R255" i="11"/>
  <c r="R256" i="11"/>
  <c r="R257" i="11"/>
  <c r="R258" i="11"/>
  <c r="R259" i="11"/>
  <c r="R260" i="11"/>
  <c r="R261" i="11"/>
  <c r="R262" i="11"/>
  <c r="R263" i="11"/>
  <c r="R264" i="11"/>
  <c r="R265" i="11"/>
  <c r="R266" i="11"/>
  <c r="R267" i="11"/>
  <c r="R268" i="11"/>
  <c r="R269" i="11"/>
  <c r="R270" i="11"/>
  <c r="R271" i="11"/>
  <c r="R272" i="11"/>
  <c r="R273" i="11"/>
  <c r="R274" i="11"/>
  <c r="R275" i="11"/>
  <c r="R276" i="11"/>
  <c r="R277" i="11"/>
  <c r="R278" i="11"/>
  <c r="R279" i="11"/>
  <c r="R280" i="11"/>
  <c r="R281" i="11"/>
  <c r="R282" i="11"/>
  <c r="R283" i="11"/>
  <c r="R284" i="11"/>
  <c r="R285" i="11"/>
  <c r="R286" i="11"/>
  <c r="R287" i="11"/>
  <c r="R288" i="11"/>
  <c r="R289" i="11"/>
  <c r="R290" i="11"/>
  <c r="R291" i="11"/>
  <c r="R292" i="11"/>
  <c r="R293" i="11"/>
  <c r="R294" i="11"/>
  <c r="R295" i="11"/>
  <c r="R296" i="11"/>
  <c r="R297" i="11"/>
  <c r="R298" i="11"/>
  <c r="R299" i="11"/>
  <c r="R300" i="11"/>
  <c r="R301" i="11"/>
  <c r="R302" i="11"/>
  <c r="R303" i="11"/>
  <c r="R304" i="11"/>
  <c r="R305" i="11"/>
  <c r="R306" i="11"/>
  <c r="K5" i="11"/>
  <c r="B36" i="6"/>
  <c r="B36" i="8"/>
  <c r="B26" i="11"/>
  <c r="B11" i="11"/>
  <c r="AI5" i="11"/>
  <c r="AI6" i="11"/>
  <c r="AI8" i="11"/>
  <c r="AI9" i="11"/>
  <c r="AI10" i="11"/>
  <c r="AI11" i="11"/>
  <c r="AI12" i="11"/>
  <c r="AI13" i="11"/>
  <c r="AI14" i="11"/>
  <c r="AI15" i="11"/>
  <c r="AI16" i="11"/>
  <c r="AI17" i="11"/>
  <c r="AI18" i="11"/>
  <c r="AI19" i="11"/>
  <c r="AI20" i="11"/>
  <c r="AI21" i="11"/>
  <c r="AI22" i="11"/>
  <c r="AI23" i="11"/>
  <c r="AI24" i="11"/>
  <c r="AI25" i="11"/>
  <c r="AI26" i="11"/>
  <c r="AI27" i="11"/>
  <c r="AI28" i="11"/>
  <c r="AI29" i="11"/>
  <c r="AI30" i="11"/>
  <c r="AI31" i="11"/>
  <c r="AI32" i="11"/>
  <c r="AI33" i="11"/>
  <c r="AI34" i="11"/>
  <c r="AI35" i="11"/>
  <c r="AI36" i="11"/>
  <c r="AI37" i="11"/>
  <c r="AI38" i="11"/>
  <c r="AI39" i="11"/>
  <c r="AI40" i="11"/>
  <c r="AI41" i="11"/>
  <c r="AI42" i="11"/>
  <c r="AI43" i="11"/>
  <c r="AI44" i="11"/>
  <c r="AI45" i="11"/>
  <c r="AI46" i="11"/>
  <c r="AI47" i="11"/>
  <c r="AI48" i="11"/>
  <c r="AI49" i="11"/>
  <c r="AI50" i="11"/>
  <c r="AI51" i="11"/>
  <c r="AI52" i="11"/>
  <c r="AI53" i="11"/>
  <c r="AI54" i="11"/>
  <c r="AI55" i="11"/>
  <c r="AI56" i="11"/>
  <c r="AI57" i="11"/>
  <c r="AI58" i="11"/>
  <c r="AI59" i="11"/>
  <c r="AI60" i="11"/>
  <c r="AI61" i="11"/>
  <c r="AI62" i="11"/>
  <c r="AI63" i="11"/>
  <c r="AI64" i="11"/>
  <c r="AI65" i="11"/>
  <c r="AI66" i="11"/>
  <c r="AI67" i="11"/>
  <c r="AI68" i="11"/>
  <c r="AI69" i="11"/>
  <c r="AI70" i="11"/>
  <c r="AI71" i="11"/>
  <c r="AI72" i="11"/>
  <c r="AI73" i="11"/>
  <c r="AI74" i="11"/>
  <c r="AI75" i="11"/>
  <c r="AI76" i="11"/>
  <c r="AI77" i="11"/>
  <c r="AI78" i="11"/>
  <c r="AI79" i="11"/>
  <c r="AI80" i="11"/>
  <c r="AI81" i="11"/>
  <c r="AI82" i="11"/>
  <c r="AI83" i="11"/>
  <c r="AI84" i="11"/>
  <c r="AI85" i="11"/>
  <c r="AI86" i="11"/>
  <c r="AI87" i="11"/>
  <c r="AI88" i="11"/>
  <c r="AI89" i="11"/>
  <c r="AI90" i="11"/>
  <c r="AI91" i="11"/>
  <c r="AI92" i="11"/>
  <c r="AI93" i="11"/>
  <c r="AI94" i="11"/>
  <c r="AI95" i="11"/>
  <c r="AI96" i="11"/>
  <c r="AI97" i="11"/>
  <c r="AI98" i="11"/>
  <c r="AI99" i="11"/>
  <c r="AI100" i="11"/>
  <c r="AI101" i="11"/>
  <c r="AI102" i="11"/>
  <c r="AI103" i="11"/>
  <c r="AI104" i="11"/>
  <c r="AI105" i="11"/>
  <c r="AI106" i="11"/>
  <c r="AI107" i="11"/>
  <c r="AI108" i="11"/>
  <c r="AI109" i="11"/>
  <c r="AI110" i="11"/>
  <c r="AI111" i="11"/>
  <c r="AI112" i="11"/>
  <c r="AI113" i="11"/>
  <c r="AI114" i="11"/>
  <c r="AI115" i="11"/>
  <c r="AI116" i="11"/>
  <c r="AI117" i="11"/>
  <c r="AI118" i="11"/>
  <c r="AI119" i="11"/>
  <c r="AI120" i="11"/>
  <c r="AI121" i="11"/>
  <c r="AI122" i="11"/>
  <c r="AI123" i="11"/>
  <c r="AI124" i="11"/>
  <c r="AI125" i="11"/>
  <c r="AI126" i="11"/>
  <c r="AI127" i="11"/>
  <c r="AI128" i="11"/>
  <c r="AI129" i="11"/>
  <c r="AI130" i="11"/>
  <c r="AI131" i="11"/>
  <c r="AI132" i="11"/>
  <c r="AI133" i="11"/>
  <c r="AI134" i="11"/>
  <c r="AI135" i="11"/>
  <c r="AI136" i="11"/>
  <c r="AI137" i="11"/>
  <c r="AI138" i="11"/>
  <c r="AI139" i="11"/>
  <c r="AI140" i="11"/>
  <c r="AI141" i="11"/>
  <c r="AI142" i="11"/>
  <c r="AI143" i="11"/>
  <c r="AI144" i="11"/>
  <c r="AI145" i="11"/>
  <c r="AI146" i="11"/>
  <c r="AI147" i="11"/>
  <c r="AI148" i="11"/>
  <c r="AI149" i="11"/>
  <c r="AI150" i="11"/>
  <c r="AI151" i="11"/>
  <c r="AI152" i="11"/>
  <c r="AI153" i="11"/>
  <c r="AI154" i="11"/>
  <c r="AI155" i="11"/>
  <c r="AI156" i="11"/>
  <c r="AI157" i="11"/>
  <c r="AI158" i="11"/>
  <c r="AI159" i="11"/>
  <c r="AI160" i="11"/>
  <c r="AI161" i="11"/>
  <c r="AI162" i="11"/>
  <c r="AI163" i="11"/>
  <c r="AI164" i="11"/>
  <c r="AI165" i="11"/>
  <c r="AI166" i="11"/>
  <c r="AI167" i="11"/>
  <c r="AI168" i="11"/>
  <c r="AI169" i="11"/>
  <c r="AI170" i="11"/>
  <c r="AI171" i="11"/>
  <c r="AI172" i="11"/>
  <c r="AI173" i="11"/>
  <c r="AI174" i="11"/>
  <c r="AI175" i="11"/>
  <c r="AI176" i="11"/>
  <c r="AI177" i="11"/>
  <c r="AI178" i="11"/>
  <c r="AI179" i="11"/>
  <c r="AI180" i="11"/>
  <c r="AI181" i="11"/>
  <c r="AI182" i="11"/>
  <c r="AI183" i="11"/>
  <c r="AI184" i="11"/>
  <c r="AI185" i="11"/>
  <c r="AI186" i="11"/>
  <c r="AI187" i="11"/>
  <c r="AI188" i="11"/>
  <c r="AI189" i="11"/>
  <c r="AI190" i="11"/>
  <c r="AI191" i="11"/>
  <c r="AI192" i="11"/>
  <c r="AI193" i="11"/>
  <c r="AI194" i="11"/>
  <c r="AI195" i="11"/>
  <c r="AI196" i="11"/>
  <c r="AI197" i="11"/>
  <c r="AI198" i="11"/>
  <c r="AI199" i="11"/>
  <c r="AI200" i="11"/>
  <c r="AI201" i="11"/>
  <c r="AI202" i="11"/>
  <c r="AI203" i="11"/>
  <c r="AI204" i="11"/>
  <c r="AI205" i="11"/>
  <c r="AI206" i="11"/>
  <c r="AI207" i="11"/>
  <c r="AI208" i="11"/>
  <c r="AI209" i="11"/>
  <c r="AI210" i="11"/>
  <c r="AI211" i="11"/>
  <c r="AI212" i="11"/>
  <c r="AI213" i="11"/>
  <c r="AI214" i="11"/>
  <c r="AI215" i="11"/>
  <c r="AI216" i="11"/>
  <c r="AI217" i="11"/>
  <c r="AI218" i="11"/>
  <c r="AI219" i="11"/>
  <c r="AI220" i="11"/>
  <c r="AI221" i="11"/>
  <c r="AI222" i="11"/>
  <c r="AI223" i="11"/>
  <c r="AI224" i="11"/>
  <c r="AI225" i="11"/>
  <c r="AI226" i="11"/>
  <c r="AI227" i="11"/>
  <c r="AI228" i="11"/>
  <c r="AI229" i="11"/>
  <c r="AI230" i="11"/>
  <c r="AI231" i="11"/>
  <c r="AI232" i="11"/>
  <c r="AI233" i="11"/>
  <c r="AI234" i="11"/>
  <c r="AI235" i="11"/>
  <c r="AI236" i="11"/>
  <c r="AI237" i="11"/>
  <c r="AI238" i="11"/>
  <c r="AI239" i="11"/>
  <c r="AI240" i="11"/>
  <c r="AI241" i="11"/>
  <c r="AI242" i="11"/>
  <c r="AI243" i="11"/>
  <c r="AI244" i="11"/>
  <c r="AI245" i="11"/>
  <c r="AI246" i="11"/>
  <c r="AI247" i="11"/>
  <c r="AI248" i="11"/>
  <c r="AI249" i="11"/>
  <c r="AI250" i="11"/>
  <c r="AI251" i="11"/>
  <c r="AI252" i="11"/>
  <c r="AI253" i="11"/>
  <c r="AI254" i="11"/>
  <c r="AI255" i="11"/>
  <c r="AI256" i="11"/>
  <c r="AI257" i="11"/>
  <c r="AI258" i="11"/>
  <c r="AI259" i="11"/>
  <c r="AI260" i="11"/>
  <c r="AI261" i="11"/>
  <c r="AI262" i="11"/>
  <c r="AI263" i="11"/>
  <c r="AI264" i="11"/>
  <c r="AI265" i="11"/>
  <c r="AI266" i="11"/>
  <c r="AI267" i="11"/>
  <c r="AI268" i="11"/>
  <c r="AI269" i="11"/>
  <c r="AI270" i="11"/>
  <c r="AI271" i="11"/>
  <c r="AI272" i="11"/>
  <c r="AI273" i="11"/>
  <c r="AI274" i="11"/>
  <c r="AI275" i="11"/>
  <c r="AI276" i="11"/>
  <c r="AI277" i="11"/>
  <c r="AI278" i="11"/>
  <c r="AI279" i="11"/>
  <c r="AI280" i="11"/>
  <c r="AI281" i="11"/>
  <c r="AI282" i="11"/>
  <c r="AI283" i="11"/>
  <c r="AI284" i="11"/>
  <c r="AI285" i="11"/>
  <c r="AI286" i="11"/>
  <c r="AI287" i="11"/>
  <c r="AI288" i="11"/>
  <c r="AI289" i="11"/>
  <c r="AI290" i="11"/>
  <c r="AI291" i="11"/>
  <c r="AI292" i="11"/>
  <c r="AI293" i="11"/>
  <c r="AI294" i="11"/>
  <c r="AI295" i="11"/>
  <c r="AI296" i="11"/>
  <c r="AI297" i="11"/>
  <c r="AI298" i="11"/>
  <c r="AI299" i="11"/>
  <c r="AI300" i="11"/>
  <c r="AI301" i="11"/>
  <c r="AI302" i="11"/>
  <c r="AI303" i="11"/>
  <c r="AI304" i="11"/>
  <c r="AI305" i="11"/>
  <c r="AI306" i="11"/>
  <c r="AN5" i="11"/>
  <c r="G5" i="11"/>
  <c r="AR5" i="11"/>
  <c r="AR6" i="11"/>
  <c r="AR7" i="11"/>
  <c r="AR8" i="11"/>
  <c r="AR9" i="11"/>
  <c r="AR10" i="11"/>
  <c r="AR11" i="11"/>
  <c r="AR12" i="11"/>
  <c r="AR13" i="11"/>
  <c r="AR14" i="11"/>
  <c r="AR15" i="11"/>
  <c r="AR16" i="11"/>
  <c r="AR17" i="11"/>
  <c r="AR18" i="11"/>
  <c r="AR19" i="11"/>
  <c r="AR20" i="11"/>
  <c r="AR21" i="11"/>
  <c r="AR22" i="11"/>
  <c r="AR23" i="11"/>
  <c r="AR24" i="11"/>
  <c r="AR25" i="11"/>
  <c r="AR26" i="11"/>
  <c r="AR27" i="11"/>
  <c r="AR28" i="11"/>
  <c r="AR29" i="11"/>
  <c r="AR30" i="11"/>
  <c r="AR31" i="11"/>
  <c r="AR32" i="11"/>
  <c r="AR33" i="11"/>
  <c r="AR34" i="11"/>
  <c r="AR35" i="11"/>
  <c r="AR36" i="11"/>
  <c r="AR37" i="11"/>
  <c r="AR38" i="11"/>
  <c r="AR39" i="11"/>
  <c r="AR40" i="11"/>
  <c r="AR41" i="11"/>
  <c r="AR42" i="11"/>
  <c r="AR43" i="11"/>
  <c r="AR44" i="11"/>
  <c r="AR45" i="11"/>
  <c r="AR46" i="11"/>
  <c r="AR47" i="11"/>
  <c r="AR48" i="11"/>
  <c r="AR49" i="11"/>
  <c r="AR50" i="11"/>
  <c r="AR51" i="11"/>
  <c r="AR52" i="11"/>
  <c r="AR53" i="11"/>
  <c r="AR54" i="11"/>
  <c r="AR55" i="11"/>
  <c r="AR56" i="11"/>
  <c r="AR57" i="11"/>
  <c r="AR58" i="11"/>
  <c r="AR59" i="11"/>
  <c r="AR60" i="11"/>
  <c r="AR61" i="11"/>
  <c r="AR62" i="11"/>
  <c r="AR63" i="11"/>
  <c r="AR64" i="11"/>
  <c r="AR65" i="11"/>
  <c r="AR66" i="11"/>
  <c r="AR67" i="11"/>
  <c r="AR68" i="11"/>
  <c r="AR69" i="11"/>
  <c r="AR70" i="11"/>
  <c r="AR71" i="11"/>
  <c r="AR72" i="11"/>
  <c r="AR73" i="11"/>
  <c r="AR74" i="11"/>
  <c r="AR75" i="11"/>
  <c r="AR76" i="11"/>
  <c r="AR77" i="11"/>
  <c r="AR78" i="11"/>
  <c r="AR79" i="11"/>
  <c r="AR80" i="11"/>
  <c r="AR81" i="11"/>
  <c r="AR82" i="11"/>
  <c r="AR83" i="11"/>
  <c r="AR84" i="11"/>
  <c r="AR85" i="11"/>
  <c r="AR86" i="11"/>
  <c r="AR87" i="11"/>
  <c r="AR88" i="11"/>
  <c r="AR89" i="11"/>
  <c r="AR90" i="11"/>
  <c r="AR91" i="11"/>
  <c r="AR92" i="11"/>
  <c r="AR93" i="11"/>
  <c r="AR94" i="11"/>
  <c r="AR95" i="11"/>
  <c r="AR96" i="11"/>
  <c r="AR97" i="11"/>
  <c r="AR98" i="11"/>
  <c r="AR99" i="11"/>
  <c r="AR100" i="11"/>
  <c r="AR101" i="11"/>
  <c r="AR102" i="11"/>
  <c r="AR103" i="11"/>
  <c r="AR104" i="11"/>
  <c r="AR105" i="11"/>
  <c r="AR106" i="11"/>
  <c r="AR107" i="11"/>
  <c r="AR108" i="11"/>
  <c r="AR109" i="11"/>
  <c r="AR110" i="11"/>
  <c r="AR111" i="11"/>
  <c r="AR112" i="11"/>
  <c r="AR113" i="11"/>
  <c r="AR114" i="11"/>
  <c r="AR115" i="11"/>
  <c r="AR116" i="11"/>
  <c r="AR117" i="11"/>
  <c r="AR118" i="11"/>
  <c r="AR119" i="11"/>
  <c r="AR120" i="11"/>
  <c r="AR121" i="11"/>
  <c r="AR122" i="11"/>
  <c r="AR123" i="11"/>
  <c r="AR124" i="11"/>
  <c r="AR125" i="11"/>
  <c r="AR126" i="11"/>
  <c r="AR127" i="11"/>
  <c r="AR128" i="11"/>
  <c r="AR129" i="11"/>
  <c r="AR130" i="11"/>
  <c r="AR131" i="11"/>
  <c r="AR132" i="11"/>
  <c r="AR133" i="11"/>
  <c r="AR134" i="11"/>
  <c r="AR135" i="11"/>
  <c r="AR136" i="11"/>
  <c r="AR137" i="11"/>
  <c r="AR138" i="11"/>
  <c r="AR139" i="11"/>
  <c r="AR140" i="11"/>
  <c r="AR141" i="11"/>
  <c r="AR142" i="11"/>
  <c r="AR143" i="11"/>
  <c r="AR144" i="11"/>
  <c r="AR145" i="11"/>
  <c r="AR146" i="11"/>
  <c r="AR147" i="11"/>
  <c r="AR148" i="11"/>
  <c r="AR149" i="11"/>
  <c r="AR150" i="11"/>
  <c r="AR151" i="11"/>
  <c r="AR152" i="11"/>
  <c r="AR153" i="11"/>
  <c r="AR154" i="11"/>
  <c r="AR155" i="11"/>
  <c r="AR156" i="11"/>
  <c r="AR157" i="11"/>
  <c r="AR158" i="11"/>
  <c r="AR159" i="11"/>
  <c r="AR160" i="11"/>
  <c r="AR161" i="11"/>
  <c r="AR162" i="11"/>
  <c r="AR163" i="11"/>
  <c r="AR164" i="11"/>
  <c r="AR165" i="11"/>
  <c r="AR166" i="11"/>
  <c r="AR167" i="11"/>
  <c r="AR168" i="11"/>
  <c r="AR169" i="11"/>
  <c r="AR170" i="11"/>
  <c r="AR171" i="11"/>
  <c r="AR172" i="11"/>
  <c r="AR173" i="11"/>
  <c r="AR174" i="11"/>
  <c r="AR175" i="11"/>
  <c r="AR176" i="11"/>
  <c r="AR177" i="11"/>
  <c r="AR178" i="11"/>
  <c r="AR179" i="11"/>
  <c r="AR180" i="11"/>
  <c r="AR181" i="11"/>
  <c r="AR182" i="11"/>
  <c r="AR183" i="11"/>
  <c r="AR184" i="11"/>
  <c r="AR185" i="11"/>
  <c r="AR186" i="11"/>
  <c r="AR187" i="11"/>
  <c r="AR188" i="11"/>
  <c r="AR189" i="11"/>
  <c r="AR190" i="11"/>
  <c r="AR191" i="11"/>
  <c r="AR192" i="11"/>
  <c r="AR193" i="11"/>
  <c r="AR194" i="11"/>
  <c r="AR195" i="11"/>
  <c r="AR196" i="11"/>
  <c r="AR197" i="11"/>
  <c r="AR198" i="11"/>
  <c r="AR199" i="11"/>
  <c r="AR200" i="11"/>
  <c r="AR201" i="11"/>
  <c r="AR202" i="11"/>
  <c r="AR203" i="11"/>
  <c r="AR204" i="11"/>
  <c r="AR205" i="11"/>
  <c r="AR206" i="11"/>
  <c r="AR207" i="11"/>
  <c r="AR208" i="11"/>
  <c r="AR209" i="11"/>
  <c r="AR210" i="11"/>
  <c r="AR211" i="11"/>
  <c r="AR212" i="11"/>
  <c r="AR213" i="11"/>
  <c r="AR214" i="11"/>
  <c r="AR215" i="11"/>
  <c r="AR216" i="11"/>
  <c r="AR217" i="11"/>
  <c r="AR218" i="11"/>
  <c r="AR219" i="11"/>
  <c r="AR220" i="11"/>
  <c r="AR221" i="11"/>
  <c r="AR222" i="11"/>
  <c r="AR223" i="11"/>
  <c r="AR224" i="11"/>
  <c r="AR225" i="11"/>
  <c r="AR226" i="11"/>
  <c r="AR227" i="11"/>
  <c r="AR228" i="11"/>
  <c r="AR229" i="11"/>
  <c r="AR230" i="11"/>
  <c r="AR231" i="11"/>
  <c r="AR232" i="11"/>
  <c r="AR233" i="11"/>
  <c r="AR234" i="11"/>
  <c r="AR235" i="11"/>
  <c r="AR236" i="11"/>
  <c r="AR237" i="11"/>
  <c r="AR238" i="11"/>
  <c r="AR239" i="11"/>
  <c r="AR240" i="11"/>
  <c r="AR241" i="11"/>
  <c r="AR242" i="11"/>
  <c r="AR243" i="11"/>
  <c r="AR244" i="11"/>
  <c r="AR245" i="11"/>
  <c r="AR246" i="11"/>
  <c r="AR247" i="11"/>
  <c r="AR248" i="11"/>
  <c r="AR249" i="11"/>
  <c r="AR250" i="11"/>
  <c r="AR251" i="11"/>
  <c r="AR252" i="11"/>
  <c r="AR253" i="11"/>
  <c r="AR254" i="11"/>
  <c r="AR255" i="11"/>
  <c r="AR256" i="11"/>
  <c r="AR257" i="11"/>
  <c r="AR258" i="11"/>
  <c r="AR259" i="11"/>
  <c r="AR260" i="11"/>
  <c r="AR261" i="11"/>
  <c r="AR262" i="11"/>
  <c r="AR263" i="11"/>
  <c r="AR264" i="11"/>
  <c r="AR265" i="11"/>
  <c r="AR266" i="11"/>
  <c r="AR267" i="11"/>
  <c r="AR268" i="11"/>
  <c r="AR269" i="11"/>
  <c r="AR270" i="11"/>
  <c r="AR271" i="11"/>
  <c r="AR272" i="11"/>
  <c r="AR273" i="11"/>
  <c r="AR274" i="11"/>
  <c r="AR275" i="11"/>
  <c r="AR276" i="11"/>
  <c r="AR277" i="11"/>
  <c r="AR278" i="11"/>
  <c r="AR279" i="11"/>
  <c r="AR280" i="11"/>
  <c r="AR281" i="11"/>
  <c r="AR282" i="11"/>
  <c r="AR283" i="11"/>
  <c r="AR284" i="11"/>
  <c r="AR285" i="11"/>
  <c r="AR286" i="11"/>
  <c r="AR287" i="11"/>
  <c r="AR288" i="11"/>
  <c r="AR289" i="11"/>
  <c r="AR290" i="11"/>
  <c r="AR291" i="11"/>
  <c r="AR292" i="11"/>
  <c r="AR293" i="11"/>
  <c r="AR294" i="11"/>
  <c r="AR295" i="11"/>
  <c r="AR296" i="11"/>
  <c r="AR297" i="11"/>
  <c r="AR298" i="11"/>
  <c r="AR299" i="11"/>
  <c r="AR300" i="11"/>
  <c r="AR301" i="11"/>
  <c r="AR302" i="11"/>
  <c r="AR303" i="11"/>
  <c r="AR304" i="11"/>
  <c r="AR305" i="11"/>
  <c r="AR306" i="11"/>
  <c r="AP5" i="11"/>
  <c r="AP6" i="11"/>
  <c r="AP7" i="11"/>
  <c r="AP8" i="11"/>
  <c r="AP9" i="11"/>
  <c r="AP10" i="11"/>
  <c r="AP11" i="11"/>
  <c r="AP12" i="11"/>
  <c r="AP13" i="11"/>
  <c r="AP14" i="11"/>
  <c r="AP15" i="11"/>
  <c r="AP16" i="11"/>
  <c r="AP17" i="11"/>
  <c r="AP18" i="11"/>
  <c r="AP19" i="11"/>
  <c r="AP20" i="11"/>
  <c r="AP21" i="11"/>
  <c r="AP22" i="11"/>
  <c r="AP23" i="11"/>
  <c r="AP24" i="11"/>
  <c r="AP25" i="11"/>
  <c r="AP26" i="11"/>
  <c r="AP27" i="11"/>
  <c r="AP28" i="11"/>
  <c r="AP29" i="11"/>
  <c r="AP30" i="11"/>
  <c r="AP31" i="11"/>
  <c r="AP32" i="11"/>
  <c r="AP33" i="11"/>
  <c r="AP34" i="11"/>
  <c r="AP35" i="11"/>
  <c r="AP36" i="11"/>
  <c r="AP37" i="11"/>
  <c r="AP38" i="11"/>
  <c r="AP39" i="11"/>
  <c r="AP40" i="11"/>
  <c r="AP41" i="11"/>
  <c r="AP42" i="11"/>
  <c r="AP43" i="11"/>
  <c r="AP44" i="11"/>
  <c r="AP45" i="11"/>
  <c r="AP46" i="11"/>
  <c r="AP47" i="11"/>
  <c r="AP48" i="11"/>
  <c r="AP49" i="11"/>
  <c r="AP50" i="11"/>
  <c r="AP51" i="11"/>
  <c r="AP52" i="11"/>
  <c r="AP53" i="11"/>
  <c r="AP54" i="11"/>
  <c r="AP55" i="11"/>
  <c r="AP56" i="11"/>
  <c r="AP57" i="11"/>
  <c r="AP58" i="11"/>
  <c r="AP59" i="11"/>
  <c r="AP60" i="11"/>
  <c r="AP61" i="11"/>
  <c r="AP62" i="11"/>
  <c r="AP63" i="11"/>
  <c r="AP64" i="11"/>
  <c r="AP65" i="11"/>
  <c r="AP66" i="11"/>
  <c r="AP67" i="11"/>
  <c r="AP68" i="11"/>
  <c r="AP69" i="11"/>
  <c r="AP70" i="11"/>
  <c r="AP71" i="11"/>
  <c r="AP72" i="11"/>
  <c r="AP73" i="11"/>
  <c r="AP74" i="11"/>
  <c r="AP75" i="11"/>
  <c r="AP76" i="11"/>
  <c r="AP77" i="11"/>
  <c r="AP78" i="11"/>
  <c r="AP79" i="11"/>
  <c r="AP80" i="11"/>
  <c r="AP81" i="11"/>
  <c r="AP82" i="11"/>
  <c r="AP83" i="11"/>
  <c r="AP84" i="11"/>
  <c r="AP85" i="11"/>
  <c r="AP86" i="11"/>
  <c r="AP87" i="11"/>
  <c r="AP88" i="11"/>
  <c r="AP89" i="11"/>
  <c r="AP90" i="11"/>
  <c r="AP91" i="11"/>
  <c r="AP92" i="11"/>
  <c r="AP93" i="11"/>
  <c r="AP94" i="11"/>
  <c r="AP95" i="11"/>
  <c r="AP96" i="11"/>
  <c r="AP97" i="11"/>
  <c r="AP98" i="11"/>
  <c r="AP99" i="11"/>
  <c r="AP100" i="11"/>
  <c r="AP101" i="11"/>
  <c r="AP102" i="11"/>
  <c r="AP103" i="11"/>
  <c r="AP104" i="11"/>
  <c r="AP105" i="11"/>
  <c r="AP106" i="11"/>
  <c r="AP107" i="11"/>
  <c r="AP108" i="11"/>
  <c r="AP109" i="11"/>
  <c r="AP110" i="11"/>
  <c r="AP111" i="11"/>
  <c r="AP112" i="11"/>
  <c r="AP113" i="11"/>
  <c r="AP114" i="11"/>
  <c r="AP115" i="11"/>
  <c r="AP116" i="11"/>
  <c r="AP117" i="11"/>
  <c r="AP118" i="11"/>
  <c r="AP119" i="11"/>
  <c r="AP120" i="11"/>
  <c r="AP121" i="11"/>
  <c r="AP122" i="11"/>
  <c r="AP123" i="11"/>
  <c r="AP124" i="11"/>
  <c r="AP125" i="11"/>
  <c r="AP126" i="11"/>
  <c r="AP127" i="11"/>
  <c r="AP128" i="11"/>
  <c r="AP129" i="11"/>
  <c r="AP130" i="11"/>
  <c r="AP131" i="11"/>
  <c r="AP132" i="11"/>
  <c r="AP133" i="11"/>
  <c r="AP134" i="11"/>
  <c r="AP135" i="11"/>
  <c r="AP136" i="11"/>
  <c r="AP137" i="11"/>
  <c r="AP138" i="11"/>
  <c r="AP139" i="11"/>
  <c r="AP140" i="11"/>
  <c r="AP141" i="11"/>
  <c r="AP142" i="11"/>
  <c r="AP143" i="11"/>
  <c r="AP144" i="11"/>
  <c r="AP145" i="11"/>
  <c r="AP146" i="11"/>
  <c r="AP147" i="11"/>
  <c r="AP148" i="11"/>
  <c r="AP149" i="11"/>
  <c r="AP150" i="11"/>
  <c r="AP151" i="11"/>
  <c r="AP152" i="11"/>
  <c r="AP153" i="11"/>
  <c r="AP154" i="11"/>
  <c r="AP155" i="11"/>
  <c r="AP156" i="11"/>
  <c r="AP157" i="11"/>
  <c r="AP158" i="11"/>
  <c r="AP159" i="11"/>
  <c r="AP160" i="11"/>
  <c r="AP161" i="11"/>
  <c r="AP162" i="11"/>
  <c r="AP163" i="11"/>
  <c r="AP164" i="11"/>
  <c r="AP165" i="11"/>
  <c r="AP166" i="11"/>
  <c r="AP167" i="11"/>
  <c r="AP168" i="11"/>
  <c r="AP169" i="11"/>
  <c r="AP170" i="11"/>
  <c r="AP171" i="11"/>
  <c r="AP172" i="11"/>
  <c r="AP173" i="11"/>
  <c r="AP174" i="11"/>
  <c r="AP175" i="11"/>
  <c r="AP176" i="11"/>
  <c r="AP177" i="11"/>
  <c r="AP178" i="11"/>
  <c r="AP179" i="11"/>
  <c r="AP180" i="11"/>
  <c r="AP181" i="11"/>
  <c r="AP182" i="11"/>
  <c r="AP183" i="11"/>
  <c r="AP184" i="11"/>
  <c r="AP185" i="11"/>
  <c r="AP186" i="11"/>
  <c r="AP187" i="11"/>
  <c r="AP188" i="11"/>
  <c r="AP189" i="11"/>
  <c r="AP190" i="11"/>
  <c r="AP191" i="11"/>
  <c r="AP192" i="11"/>
  <c r="AP193" i="11"/>
  <c r="AP194" i="11"/>
  <c r="AP195" i="11"/>
  <c r="AP196" i="11"/>
  <c r="AP197" i="11"/>
  <c r="AP198" i="11"/>
  <c r="AP199" i="11"/>
  <c r="AP200" i="11"/>
  <c r="AP201" i="11"/>
  <c r="AP202" i="11"/>
  <c r="AP203" i="11"/>
  <c r="AP204" i="11"/>
  <c r="AP205" i="11"/>
  <c r="AP206" i="11"/>
  <c r="AP207" i="11"/>
  <c r="AP208" i="11"/>
  <c r="AP209" i="11"/>
  <c r="AP210" i="11"/>
  <c r="AP211" i="11"/>
  <c r="AP212" i="11"/>
  <c r="AP213" i="11"/>
  <c r="AP214" i="11"/>
  <c r="AP215" i="11"/>
  <c r="AP216" i="11"/>
  <c r="AP217" i="11"/>
  <c r="AP218" i="11"/>
  <c r="AP219" i="11"/>
  <c r="AP220" i="11"/>
  <c r="AP221" i="11"/>
  <c r="AP222" i="11"/>
  <c r="AP223" i="11"/>
  <c r="AP224" i="11"/>
  <c r="AP225" i="11"/>
  <c r="AP226" i="11"/>
  <c r="AP227" i="11"/>
  <c r="AP228" i="11"/>
  <c r="AP229" i="11"/>
  <c r="AP230" i="11"/>
  <c r="AP231" i="11"/>
  <c r="AP232" i="11"/>
  <c r="AP233" i="11"/>
  <c r="AP234" i="11"/>
  <c r="AP235" i="11"/>
  <c r="AP236" i="11"/>
  <c r="AP237" i="11"/>
  <c r="AP238" i="11"/>
  <c r="AP239" i="11"/>
  <c r="AP240" i="11"/>
  <c r="AP241" i="11"/>
  <c r="AP242" i="11"/>
  <c r="AP243" i="11"/>
  <c r="AP244" i="11"/>
  <c r="AP245" i="11"/>
  <c r="AP246" i="11"/>
  <c r="AP247" i="11"/>
  <c r="AP248" i="11"/>
  <c r="AP249" i="11"/>
  <c r="AP250" i="11"/>
  <c r="AP251" i="11"/>
  <c r="AP252" i="11"/>
  <c r="AP253" i="11"/>
  <c r="AP254" i="11"/>
  <c r="AP255" i="11"/>
  <c r="AP256" i="11"/>
  <c r="AP257" i="11"/>
  <c r="AP258" i="11"/>
  <c r="AP259" i="11"/>
  <c r="AP260" i="11"/>
  <c r="AP261" i="11"/>
  <c r="AP262" i="11"/>
  <c r="AP263" i="11"/>
  <c r="AP264" i="11"/>
  <c r="AP265" i="11"/>
  <c r="AP266" i="11"/>
  <c r="AP267" i="11"/>
  <c r="AP268" i="11"/>
  <c r="AP269" i="11"/>
  <c r="AP270" i="11"/>
  <c r="AP271" i="11"/>
  <c r="AP272" i="11"/>
  <c r="AP273" i="11"/>
  <c r="AP274" i="11"/>
  <c r="AP275" i="11"/>
  <c r="AP276" i="11"/>
  <c r="AP277" i="11"/>
  <c r="AP278" i="11"/>
  <c r="AP279" i="11"/>
  <c r="AP280" i="11"/>
  <c r="AP281" i="11"/>
  <c r="AP282" i="11"/>
  <c r="AP283" i="11"/>
  <c r="AP284" i="11"/>
  <c r="AP285" i="11"/>
  <c r="AP286" i="11"/>
  <c r="AP287" i="11"/>
  <c r="AP288" i="11"/>
  <c r="AP289" i="11"/>
  <c r="AP290" i="11"/>
  <c r="AP291" i="11"/>
  <c r="AP292" i="11"/>
  <c r="AP293" i="11"/>
  <c r="AP294" i="11"/>
  <c r="AP295" i="11"/>
  <c r="AP296" i="11"/>
  <c r="AP297" i="11"/>
  <c r="AP298" i="11"/>
  <c r="AP299" i="11"/>
  <c r="AP300" i="11"/>
  <c r="AP301" i="11"/>
  <c r="AP302" i="11"/>
  <c r="AP303" i="11"/>
  <c r="AP304" i="11"/>
  <c r="AP305" i="11"/>
  <c r="AP306" i="11"/>
  <c r="AF5" i="11"/>
  <c r="AF6" i="11"/>
  <c r="AF7" i="11"/>
  <c r="AF8" i="11"/>
  <c r="AF9" i="11"/>
  <c r="AF10" i="11"/>
  <c r="AF11" i="11"/>
  <c r="AF12" i="11"/>
  <c r="AF13" i="11"/>
  <c r="AF14" i="11"/>
  <c r="AF15" i="11"/>
  <c r="AF16" i="11"/>
  <c r="AF17" i="11"/>
  <c r="AF18" i="11"/>
  <c r="AF19" i="11"/>
  <c r="AF20" i="11"/>
  <c r="AF21" i="11"/>
  <c r="AF22" i="11"/>
  <c r="AF23" i="11"/>
  <c r="AF24" i="11"/>
  <c r="AF25" i="11"/>
  <c r="AF26" i="11"/>
  <c r="AF27" i="11"/>
  <c r="AF28" i="11"/>
  <c r="AF29" i="11"/>
  <c r="AF30" i="11"/>
  <c r="AF31" i="11"/>
  <c r="AF32" i="11"/>
  <c r="AF33" i="11"/>
  <c r="AF34" i="11"/>
  <c r="AF35" i="11"/>
  <c r="AF36" i="11"/>
  <c r="AF37" i="11"/>
  <c r="AF38" i="11"/>
  <c r="AF39" i="11"/>
  <c r="AF40" i="11"/>
  <c r="AF41" i="11"/>
  <c r="AF42" i="11"/>
  <c r="AF43" i="11"/>
  <c r="AF44" i="11"/>
  <c r="AF45" i="11"/>
  <c r="AF46" i="11"/>
  <c r="AF47" i="11"/>
  <c r="AF48" i="11"/>
  <c r="AF49" i="11"/>
  <c r="AF50" i="11"/>
  <c r="AF51" i="11"/>
  <c r="AF52" i="11"/>
  <c r="AF53" i="11"/>
  <c r="AF54" i="11"/>
  <c r="AF55" i="11"/>
  <c r="AF56" i="11"/>
  <c r="AF57" i="11"/>
  <c r="AF58" i="11"/>
  <c r="AF59" i="11"/>
  <c r="AF60" i="11"/>
  <c r="AF61" i="11"/>
  <c r="AF62" i="11"/>
  <c r="AF63" i="11"/>
  <c r="AF64" i="11"/>
  <c r="AF65" i="11"/>
  <c r="AF66" i="11"/>
  <c r="AF67" i="11"/>
  <c r="AF68" i="11"/>
  <c r="AF69" i="11"/>
  <c r="AF70" i="11"/>
  <c r="AF71" i="11"/>
  <c r="AF72" i="11"/>
  <c r="AF73" i="11"/>
  <c r="AF74" i="11"/>
  <c r="AF75" i="11"/>
  <c r="AF76" i="11"/>
  <c r="AF77" i="11"/>
  <c r="AF78" i="11"/>
  <c r="AF79" i="11"/>
  <c r="AF80" i="11"/>
  <c r="AF81" i="11"/>
  <c r="AF82" i="11"/>
  <c r="AF83" i="11"/>
  <c r="AF84" i="11"/>
  <c r="AF85" i="11"/>
  <c r="AF86" i="11"/>
  <c r="AF87" i="11"/>
  <c r="AF88" i="11"/>
  <c r="AF89" i="11"/>
  <c r="AF90" i="11"/>
  <c r="AF91" i="11"/>
  <c r="AF92" i="11"/>
  <c r="AF93" i="11"/>
  <c r="AF94" i="11"/>
  <c r="AF95" i="11"/>
  <c r="AF96" i="11"/>
  <c r="AF97" i="11"/>
  <c r="AF98" i="11"/>
  <c r="AF99" i="11"/>
  <c r="AF100" i="11"/>
  <c r="AF101" i="11"/>
  <c r="AF102" i="11"/>
  <c r="AF103" i="11"/>
  <c r="AF104" i="11"/>
  <c r="AF105" i="11"/>
  <c r="AF106" i="11"/>
  <c r="AF107" i="11"/>
  <c r="AF108" i="11"/>
  <c r="AF109" i="11"/>
  <c r="AF110" i="11"/>
  <c r="AF111" i="11"/>
  <c r="AF112" i="11"/>
  <c r="AF113" i="11"/>
  <c r="AF114" i="11"/>
  <c r="AF115" i="11"/>
  <c r="AF116" i="11"/>
  <c r="AF117" i="11"/>
  <c r="AF118" i="11"/>
  <c r="AF119" i="11"/>
  <c r="AF120" i="11"/>
  <c r="AF121" i="11"/>
  <c r="AF122" i="11"/>
  <c r="AF123" i="11"/>
  <c r="AF124" i="11"/>
  <c r="AF125" i="11"/>
  <c r="AF126" i="11"/>
  <c r="AF127" i="11"/>
  <c r="AF128" i="11"/>
  <c r="AF129" i="11"/>
  <c r="AF130" i="11"/>
  <c r="AF131" i="11"/>
  <c r="AF132" i="11"/>
  <c r="AF133" i="11"/>
  <c r="AF134" i="11"/>
  <c r="AF135" i="11"/>
  <c r="AF136" i="11"/>
  <c r="AF137" i="11"/>
  <c r="AF138" i="11"/>
  <c r="AF139" i="11"/>
  <c r="AF140" i="11"/>
  <c r="AF141" i="11"/>
  <c r="AF142" i="11"/>
  <c r="AF143" i="11"/>
  <c r="AF144" i="11"/>
  <c r="AF145" i="11"/>
  <c r="AF146" i="11"/>
  <c r="AF147" i="11"/>
  <c r="AF148" i="11"/>
  <c r="AF149" i="11"/>
  <c r="AF150" i="11"/>
  <c r="AF151" i="11"/>
  <c r="AF152" i="11"/>
  <c r="AF153" i="11"/>
  <c r="AF154" i="11"/>
  <c r="AF155" i="11"/>
  <c r="AF156" i="11"/>
  <c r="AF157" i="11"/>
  <c r="AF158" i="11"/>
  <c r="AF159" i="11"/>
  <c r="AF160" i="11"/>
  <c r="AF161" i="11"/>
  <c r="AF162" i="11"/>
  <c r="AF163" i="11"/>
  <c r="AF164" i="11"/>
  <c r="AF165" i="11"/>
  <c r="AF166" i="11"/>
  <c r="AF167" i="11"/>
  <c r="AF168" i="11"/>
  <c r="AF169" i="11"/>
  <c r="AF170" i="11"/>
  <c r="AF171" i="11"/>
  <c r="AF172" i="11"/>
  <c r="AF173" i="11"/>
  <c r="AF174" i="11"/>
  <c r="AF175" i="11"/>
  <c r="AF176" i="11"/>
  <c r="AF177" i="11"/>
  <c r="AF178" i="11"/>
  <c r="AF179" i="11"/>
  <c r="AF180" i="11"/>
  <c r="AF181" i="11"/>
  <c r="AF182" i="11"/>
  <c r="AF183" i="11"/>
  <c r="AF184" i="11"/>
  <c r="AF185" i="11"/>
  <c r="AF186" i="11"/>
  <c r="AF187" i="11"/>
  <c r="AF188" i="11"/>
  <c r="AF189" i="11"/>
  <c r="AF190" i="11"/>
  <c r="AF191" i="11"/>
  <c r="AF192" i="11"/>
  <c r="AF193" i="11"/>
  <c r="AF194" i="11"/>
  <c r="AF195" i="11"/>
  <c r="AF196" i="11"/>
  <c r="AF197" i="11"/>
  <c r="AF198" i="11"/>
  <c r="AF199" i="11"/>
  <c r="AF200" i="11"/>
  <c r="AF201" i="11"/>
  <c r="AF202" i="11"/>
  <c r="AF203" i="11"/>
  <c r="AF204" i="11"/>
  <c r="AF205" i="11"/>
  <c r="AF206" i="11"/>
  <c r="AF207" i="11"/>
  <c r="AF208" i="11"/>
  <c r="AF209" i="11"/>
  <c r="AF210" i="11"/>
  <c r="AF211" i="11"/>
  <c r="AF212" i="11"/>
  <c r="AF213" i="11"/>
  <c r="AF214" i="11"/>
  <c r="AF215" i="11"/>
  <c r="AF216" i="11"/>
  <c r="AF217" i="11"/>
  <c r="AF218" i="11"/>
  <c r="AF219" i="11"/>
  <c r="AF220" i="11"/>
  <c r="AF221" i="11"/>
  <c r="AF222" i="11"/>
  <c r="AF223" i="11"/>
  <c r="AF224" i="11"/>
  <c r="AF225" i="11"/>
  <c r="AF226" i="11"/>
  <c r="AF227" i="11"/>
  <c r="AF228" i="11"/>
  <c r="AF229" i="11"/>
  <c r="AF230" i="11"/>
  <c r="AF231" i="11"/>
  <c r="AF232" i="11"/>
  <c r="AF233" i="11"/>
  <c r="AF234" i="11"/>
  <c r="AF235" i="11"/>
  <c r="AF236" i="11"/>
  <c r="AF237" i="11"/>
  <c r="AF238" i="11"/>
  <c r="AF239" i="11"/>
  <c r="AF240" i="11"/>
  <c r="AF241" i="11"/>
  <c r="AF242" i="11"/>
  <c r="AF243" i="11"/>
  <c r="AF244" i="11"/>
  <c r="AF245" i="11"/>
  <c r="AF246" i="11"/>
  <c r="AF247" i="11"/>
  <c r="AF248" i="11"/>
  <c r="AF249" i="11"/>
  <c r="AF250" i="11"/>
  <c r="AF251" i="11"/>
  <c r="AF252" i="11"/>
  <c r="AF253" i="11"/>
  <c r="AF254" i="11"/>
  <c r="AF255" i="11"/>
  <c r="AF256" i="11"/>
  <c r="AF257" i="11"/>
  <c r="AF258" i="11"/>
  <c r="AF259" i="11"/>
  <c r="AF260" i="11"/>
  <c r="AF261" i="11"/>
  <c r="AF262" i="11"/>
  <c r="AF263" i="11"/>
  <c r="AF264" i="11"/>
  <c r="AF265" i="11"/>
  <c r="AF266" i="11"/>
  <c r="AF267" i="11"/>
  <c r="AF268" i="11"/>
  <c r="AF269" i="11"/>
  <c r="AF270" i="11"/>
  <c r="AF271" i="11"/>
  <c r="AF272" i="11"/>
  <c r="AF273" i="11"/>
  <c r="AF274" i="11"/>
  <c r="AF275" i="11"/>
  <c r="AF276" i="11"/>
  <c r="AF277" i="11"/>
  <c r="AF278" i="11"/>
  <c r="AF279" i="11"/>
  <c r="AF280" i="11"/>
  <c r="AF281" i="11"/>
  <c r="AF282" i="11"/>
  <c r="AF283" i="11"/>
  <c r="AF284" i="11"/>
  <c r="AF285" i="11"/>
  <c r="AF286" i="11"/>
  <c r="AF287" i="11"/>
  <c r="AF288" i="11"/>
  <c r="AF289" i="11"/>
  <c r="AF290" i="11"/>
  <c r="AF291" i="11"/>
  <c r="AF292" i="11"/>
  <c r="AF293" i="11"/>
  <c r="AF294" i="11"/>
  <c r="AF295" i="11"/>
  <c r="AF296" i="11"/>
  <c r="AF297" i="11"/>
  <c r="AF298" i="11"/>
  <c r="AF299" i="11"/>
  <c r="AF300" i="11"/>
  <c r="AF301" i="11"/>
  <c r="AF302" i="11"/>
  <c r="AF303" i="11"/>
  <c r="AF304" i="11"/>
  <c r="AF305" i="11"/>
  <c r="AF306" i="11"/>
  <c r="AD5" i="11"/>
  <c r="AD6" i="11"/>
  <c r="AD7" i="11"/>
  <c r="AD8" i="11"/>
  <c r="AD9" i="11"/>
  <c r="AD10" i="11"/>
  <c r="AD11" i="11"/>
  <c r="AD12" i="11"/>
  <c r="AD13" i="11"/>
  <c r="AD14" i="11"/>
  <c r="AD15" i="11"/>
  <c r="AD16" i="11"/>
  <c r="AD17" i="11"/>
  <c r="AD18" i="11"/>
  <c r="AD19" i="11"/>
  <c r="AD20" i="11"/>
  <c r="AD21" i="11"/>
  <c r="AD22" i="11"/>
  <c r="AD23" i="11"/>
  <c r="AD24" i="11"/>
  <c r="AD25" i="11"/>
  <c r="AD26" i="11"/>
  <c r="AD27" i="11"/>
  <c r="AD28" i="11"/>
  <c r="AD29" i="11"/>
  <c r="AD30" i="11"/>
  <c r="AD31" i="11"/>
  <c r="AD32" i="11"/>
  <c r="AD33" i="11"/>
  <c r="AD34" i="11"/>
  <c r="AD35" i="11"/>
  <c r="AD36" i="11"/>
  <c r="AD37" i="11"/>
  <c r="AD38" i="11"/>
  <c r="AD39" i="11"/>
  <c r="AD40" i="11"/>
  <c r="AD41" i="11"/>
  <c r="AD42" i="11"/>
  <c r="AD43" i="11"/>
  <c r="AD44" i="11"/>
  <c r="AD45" i="11"/>
  <c r="AD46" i="11"/>
  <c r="AD47" i="11"/>
  <c r="AD48" i="11"/>
  <c r="AD49" i="11"/>
  <c r="AD50" i="11"/>
  <c r="AD51" i="11"/>
  <c r="AD52" i="11"/>
  <c r="AD53" i="11"/>
  <c r="AD54" i="11"/>
  <c r="AD55" i="11"/>
  <c r="AD56" i="11"/>
  <c r="AD57" i="11"/>
  <c r="AD58" i="11"/>
  <c r="AD59" i="11"/>
  <c r="AD60" i="11"/>
  <c r="AD61" i="11"/>
  <c r="AD62" i="11"/>
  <c r="AD63" i="11"/>
  <c r="AD64" i="11"/>
  <c r="AD65" i="11"/>
  <c r="AD66" i="11"/>
  <c r="AD67" i="11"/>
  <c r="AD68" i="11"/>
  <c r="AD69" i="11"/>
  <c r="AD70" i="11"/>
  <c r="AD71" i="11"/>
  <c r="AD72" i="11"/>
  <c r="AD73" i="11"/>
  <c r="AD74" i="11"/>
  <c r="AD75" i="11"/>
  <c r="AD76" i="11"/>
  <c r="AD77" i="11"/>
  <c r="AD78" i="11"/>
  <c r="AD79" i="11"/>
  <c r="AD80" i="11"/>
  <c r="AD81" i="11"/>
  <c r="AD82" i="11"/>
  <c r="AD83" i="11"/>
  <c r="AD84" i="11"/>
  <c r="AD85" i="11"/>
  <c r="AD86" i="11"/>
  <c r="AD87" i="11"/>
  <c r="AD88" i="11"/>
  <c r="AD89" i="11"/>
  <c r="AD90" i="11"/>
  <c r="AD91" i="11"/>
  <c r="AD92" i="11"/>
  <c r="AD93" i="11"/>
  <c r="AD94" i="11"/>
  <c r="AD95" i="11"/>
  <c r="AD96" i="11"/>
  <c r="AD97" i="11"/>
  <c r="AD98" i="11"/>
  <c r="AD99" i="11"/>
  <c r="AD100" i="11"/>
  <c r="AD101" i="11"/>
  <c r="AD102" i="11"/>
  <c r="AD103" i="11"/>
  <c r="AD104" i="11"/>
  <c r="AD105" i="11"/>
  <c r="AD106" i="11"/>
  <c r="AD107" i="11"/>
  <c r="AD108" i="11"/>
  <c r="AD109" i="11"/>
  <c r="AD110" i="11"/>
  <c r="AD111" i="11"/>
  <c r="AD112" i="11"/>
  <c r="AD113" i="11"/>
  <c r="AD114" i="11"/>
  <c r="AD115" i="11"/>
  <c r="AD116" i="11"/>
  <c r="AD117" i="11"/>
  <c r="AD118" i="11"/>
  <c r="AD119" i="11"/>
  <c r="AD120" i="11"/>
  <c r="AD121" i="11"/>
  <c r="AD122" i="11"/>
  <c r="AD123" i="11"/>
  <c r="AD124" i="11"/>
  <c r="AD125" i="11"/>
  <c r="AD126" i="11"/>
  <c r="AD127" i="11"/>
  <c r="AD128" i="11"/>
  <c r="AD129" i="11"/>
  <c r="AD130" i="11"/>
  <c r="AD131" i="11"/>
  <c r="AD132" i="11"/>
  <c r="AD133" i="11"/>
  <c r="AD134" i="11"/>
  <c r="AD135" i="11"/>
  <c r="AD136" i="11"/>
  <c r="AD137" i="11"/>
  <c r="AD138" i="11"/>
  <c r="AD139" i="11"/>
  <c r="AD140" i="11"/>
  <c r="AD141" i="11"/>
  <c r="AD142" i="11"/>
  <c r="AD143" i="11"/>
  <c r="AD144" i="11"/>
  <c r="AD145" i="11"/>
  <c r="AD146" i="11"/>
  <c r="AD147" i="11"/>
  <c r="AD148" i="11"/>
  <c r="AD149" i="11"/>
  <c r="AD150" i="11"/>
  <c r="AD151" i="11"/>
  <c r="AD152" i="11"/>
  <c r="AD153" i="11"/>
  <c r="AD154" i="11"/>
  <c r="AD155" i="11"/>
  <c r="AD156" i="11"/>
  <c r="AD157" i="11"/>
  <c r="AD158" i="11"/>
  <c r="AD159" i="11"/>
  <c r="AD160" i="11"/>
  <c r="AD161" i="11"/>
  <c r="AD162" i="11"/>
  <c r="AD163" i="11"/>
  <c r="AD164" i="11"/>
  <c r="AD165" i="11"/>
  <c r="AD166" i="11"/>
  <c r="AD167" i="11"/>
  <c r="AD168" i="11"/>
  <c r="AD169" i="11"/>
  <c r="AD170" i="11"/>
  <c r="AD171" i="11"/>
  <c r="AD172" i="11"/>
  <c r="AD173" i="11"/>
  <c r="AD174" i="11"/>
  <c r="AD175" i="11"/>
  <c r="AD176" i="11"/>
  <c r="AD177" i="11"/>
  <c r="AD178" i="11"/>
  <c r="AD179" i="11"/>
  <c r="AD180" i="11"/>
  <c r="AD181" i="11"/>
  <c r="AD182" i="11"/>
  <c r="AD183" i="11"/>
  <c r="AD184" i="11"/>
  <c r="AD185" i="11"/>
  <c r="AD186" i="11"/>
  <c r="AD187" i="11"/>
  <c r="AD188" i="11"/>
  <c r="AD189" i="11"/>
  <c r="AD190" i="11"/>
  <c r="AD191" i="11"/>
  <c r="AD192" i="11"/>
  <c r="AD193" i="11"/>
  <c r="AD194" i="11"/>
  <c r="AD195" i="11"/>
  <c r="AD196" i="11"/>
  <c r="AD197" i="11"/>
  <c r="AD198" i="11"/>
  <c r="AD199" i="11"/>
  <c r="AD200" i="11"/>
  <c r="AD201" i="11"/>
  <c r="AD202" i="11"/>
  <c r="AD203" i="11"/>
  <c r="AD204" i="11"/>
  <c r="AD205" i="11"/>
  <c r="AD206" i="11"/>
  <c r="AD207" i="11"/>
  <c r="AD208" i="11"/>
  <c r="AD209" i="11"/>
  <c r="AD210" i="11"/>
  <c r="AD211" i="11"/>
  <c r="AD212" i="11"/>
  <c r="AD213" i="11"/>
  <c r="AD214" i="11"/>
  <c r="AD215" i="11"/>
  <c r="AD216" i="11"/>
  <c r="AD217" i="11"/>
  <c r="AD218" i="11"/>
  <c r="AD219" i="11"/>
  <c r="AD220" i="11"/>
  <c r="AD221" i="11"/>
  <c r="AD222" i="11"/>
  <c r="AD223" i="11"/>
  <c r="AD224" i="11"/>
  <c r="AD225" i="11"/>
  <c r="AD226" i="11"/>
  <c r="AD227" i="11"/>
  <c r="AD228" i="11"/>
  <c r="AD229" i="11"/>
  <c r="AD230" i="11"/>
  <c r="AD231" i="11"/>
  <c r="AD232" i="11"/>
  <c r="AD233" i="11"/>
  <c r="AD234" i="11"/>
  <c r="AD235" i="11"/>
  <c r="AD236" i="11"/>
  <c r="AD237" i="11"/>
  <c r="AD238" i="11"/>
  <c r="AD239" i="11"/>
  <c r="AD240" i="11"/>
  <c r="AD241" i="11"/>
  <c r="AD242" i="11"/>
  <c r="AD243" i="11"/>
  <c r="AD244" i="11"/>
  <c r="AD245" i="11"/>
  <c r="AD246" i="11"/>
  <c r="AD247" i="11"/>
  <c r="AD248" i="11"/>
  <c r="AD249" i="11"/>
  <c r="AD250" i="11"/>
  <c r="AD251" i="11"/>
  <c r="AD252" i="11"/>
  <c r="AD253" i="11"/>
  <c r="AD254" i="11"/>
  <c r="AD255" i="11"/>
  <c r="AD256" i="11"/>
  <c r="AD257" i="11"/>
  <c r="AD258" i="11"/>
  <c r="AD259" i="11"/>
  <c r="AD260" i="11"/>
  <c r="AD261" i="11"/>
  <c r="AD262" i="11"/>
  <c r="AD263" i="11"/>
  <c r="AD264" i="11"/>
  <c r="AD265" i="11"/>
  <c r="AD266" i="11"/>
  <c r="AD267" i="11"/>
  <c r="AD268" i="11"/>
  <c r="AD269" i="11"/>
  <c r="AD270" i="11"/>
  <c r="AD271" i="11"/>
  <c r="AD272" i="11"/>
  <c r="AD273" i="11"/>
  <c r="AD274" i="11"/>
  <c r="AD275" i="11"/>
  <c r="AD276" i="11"/>
  <c r="AD277" i="11"/>
  <c r="AD278" i="11"/>
  <c r="AD279" i="11"/>
  <c r="AD280" i="11"/>
  <c r="AD281" i="11"/>
  <c r="AD282" i="11"/>
  <c r="AD283" i="11"/>
  <c r="AD284" i="11"/>
  <c r="AD285" i="11"/>
  <c r="AD286" i="11"/>
  <c r="AD287" i="11"/>
  <c r="AD288" i="11"/>
  <c r="AD289" i="11"/>
  <c r="AD290" i="11"/>
  <c r="AD291" i="11"/>
  <c r="AD292" i="11"/>
  <c r="AD293" i="11"/>
  <c r="AD294" i="11"/>
  <c r="AD295" i="11"/>
  <c r="AD296" i="11"/>
  <c r="AD297" i="11"/>
  <c r="AD298" i="11"/>
  <c r="AD299" i="11"/>
  <c r="AD300" i="11"/>
  <c r="AD301" i="11"/>
  <c r="AD302" i="11"/>
  <c r="AD303" i="11"/>
  <c r="AD304" i="11"/>
  <c r="AD305" i="11"/>
  <c r="AD306" i="11"/>
  <c r="AB5" i="11"/>
  <c r="K6" i="11"/>
  <c r="K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5" i="11"/>
  <c r="K96" i="11"/>
  <c r="K97" i="11"/>
  <c r="K98" i="11"/>
  <c r="K99" i="11"/>
  <c r="K100" i="11"/>
  <c r="K101" i="11"/>
  <c r="K102" i="11"/>
  <c r="K103" i="11"/>
  <c r="K104" i="11"/>
  <c r="K105" i="11"/>
  <c r="K106" i="11"/>
  <c r="K107" i="11"/>
  <c r="K108" i="11"/>
  <c r="K109" i="11"/>
  <c r="K110" i="11"/>
  <c r="K111" i="11"/>
  <c r="K112" i="11"/>
  <c r="K113" i="11"/>
  <c r="K114" i="11"/>
  <c r="K115" i="11"/>
  <c r="K116" i="11"/>
  <c r="K117" i="11"/>
  <c r="K118" i="11"/>
  <c r="K119" i="11"/>
  <c r="K120" i="11"/>
  <c r="K121" i="11"/>
  <c r="K122" i="11"/>
  <c r="K123" i="11"/>
  <c r="K124" i="11"/>
  <c r="K125" i="11"/>
  <c r="K126" i="11"/>
  <c r="K127" i="11"/>
  <c r="K128" i="11"/>
  <c r="K129" i="11"/>
  <c r="K130" i="11"/>
  <c r="K131" i="11"/>
  <c r="K132" i="11"/>
  <c r="K133" i="11"/>
  <c r="K134" i="11"/>
  <c r="K135" i="11"/>
  <c r="K136" i="11"/>
  <c r="K137" i="11"/>
  <c r="K138" i="11"/>
  <c r="K139" i="11"/>
  <c r="K140" i="11"/>
  <c r="K141" i="11"/>
  <c r="K142" i="11"/>
  <c r="K143" i="11"/>
  <c r="K144" i="11"/>
  <c r="K145" i="11"/>
  <c r="K146" i="11"/>
  <c r="K147" i="11"/>
  <c r="K148" i="11"/>
  <c r="K149" i="11"/>
  <c r="K150" i="11"/>
  <c r="K151" i="11"/>
  <c r="K152" i="11"/>
  <c r="K153" i="11"/>
  <c r="K154" i="11"/>
  <c r="K155" i="11"/>
  <c r="K156" i="11"/>
  <c r="K157" i="11"/>
  <c r="K158" i="11"/>
  <c r="K159" i="11"/>
  <c r="K160" i="11"/>
  <c r="K161" i="11"/>
  <c r="K162" i="11"/>
  <c r="K163" i="11"/>
  <c r="K164" i="11"/>
  <c r="K165" i="11"/>
  <c r="K166" i="11"/>
  <c r="K167" i="11"/>
  <c r="K168" i="11"/>
  <c r="K169" i="11"/>
  <c r="K170" i="11"/>
  <c r="K171" i="11"/>
  <c r="K172" i="11"/>
  <c r="K173" i="11"/>
  <c r="K174" i="11"/>
  <c r="K175" i="11"/>
  <c r="K176" i="11"/>
  <c r="K177" i="11"/>
  <c r="K178" i="11"/>
  <c r="K179" i="11"/>
  <c r="K180" i="11"/>
  <c r="K181" i="11"/>
  <c r="K182" i="11"/>
  <c r="K183" i="11"/>
  <c r="K184" i="11"/>
  <c r="K185" i="11"/>
  <c r="K186" i="11"/>
  <c r="K187" i="11"/>
  <c r="K188" i="11"/>
  <c r="K189" i="11"/>
  <c r="K190" i="11"/>
  <c r="K191" i="11"/>
  <c r="K192" i="11"/>
  <c r="K193" i="11"/>
  <c r="K194" i="11"/>
  <c r="K195" i="11"/>
  <c r="K196" i="11"/>
  <c r="K197" i="11"/>
  <c r="K198" i="11"/>
  <c r="K199" i="11"/>
  <c r="K200" i="11"/>
  <c r="K201" i="11"/>
  <c r="K202" i="11"/>
  <c r="K203" i="11"/>
  <c r="K204" i="11"/>
  <c r="K205" i="11"/>
  <c r="K206" i="11"/>
  <c r="K207" i="11"/>
  <c r="K208" i="11"/>
  <c r="K209" i="11"/>
  <c r="K210" i="11"/>
  <c r="K211" i="11"/>
  <c r="K212" i="11"/>
  <c r="K213" i="11"/>
  <c r="K214" i="11"/>
  <c r="K215" i="11"/>
  <c r="K216" i="11"/>
  <c r="K217" i="11"/>
  <c r="K218" i="11"/>
  <c r="K219" i="11"/>
  <c r="K220" i="11"/>
  <c r="K221" i="11"/>
  <c r="K222" i="11"/>
  <c r="K223" i="11"/>
  <c r="K224" i="11"/>
  <c r="K225" i="11"/>
  <c r="K226" i="11"/>
  <c r="K227" i="11"/>
  <c r="K228" i="11"/>
  <c r="K229" i="11"/>
  <c r="K230" i="11"/>
  <c r="K231" i="11"/>
  <c r="K232" i="11"/>
  <c r="K233" i="11"/>
  <c r="K234" i="11"/>
  <c r="K235" i="11"/>
  <c r="K236" i="11"/>
  <c r="K237" i="11"/>
  <c r="K238" i="11"/>
  <c r="K239" i="11"/>
  <c r="K240" i="11"/>
  <c r="K241" i="11"/>
  <c r="K242" i="11"/>
  <c r="K243" i="11"/>
  <c r="K244" i="11"/>
  <c r="K245" i="11"/>
  <c r="K246" i="11"/>
  <c r="K247" i="11"/>
  <c r="K248" i="11"/>
  <c r="K249" i="11"/>
  <c r="K250" i="11"/>
  <c r="K251" i="11"/>
  <c r="K252" i="11"/>
  <c r="K253" i="11"/>
  <c r="K254" i="11"/>
  <c r="K255" i="11"/>
  <c r="K256" i="11"/>
  <c r="K257" i="11"/>
  <c r="K258" i="11"/>
  <c r="K259" i="11"/>
  <c r="K260" i="11"/>
  <c r="K261" i="11"/>
  <c r="K262" i="11"/>
  <c r="K263" i="11"/>
  <c r="K264" i="11"/>
  <c r="K265" i="11"/>
  <c r="K266" i="11"/>
  <c r="K267" i="11"/>
  <c r="K268" i="11"/>
  <c r="K269" i="11"/>
  <c r="K270" i="11"/>
  <c r="K271" i="11"/>
  <c r="K272" i="11"/>
  <c r="K273" i="11"/>
  <c r="K274" i="11"/>
  <c r="K275" i="11"/>
  <c r="K276" i="11"/>
  <c r="K277" i="11"/>
  <c r="K278" i="11"/>
  <c r="K279" i="11"/>
  <c r="K280" i="11"/>
  <c r="K281" i="11"/>
  <c r="K282" i="11"/>
  <c r="K283" i="11"/>
  <c r="K284" i="11"/>
  <c r="K285" i="11"/>
  <c r="K286" i="11"/>
  <c r="K287" i="11"/>
  <c r="K288" i="11"/>
  <c r="K289" i="11"/>
  <c r="K290" i="11"/>
  <c r="K291" i="11"/>
  <c r="K292" i="11"/>
  <c r="K293" i="11"/>
  <c r="K294" i="11"/>
  <c r="K295" i="11"/>
  <c r="K296" i="11"/>
  <c r="K297" i="11"/>
  <c r="K298" i="11"/>
  <c r="K299" i="11"/>
  <c r="K300" i="11"/>
  <c r="K301" i="11"/>
  <c r="K302" i="11"/>
  <c r="K303" i="11"/>
  <c r="K304" i="11"/>
  <c r="K305" i="11"/>
  <c r="K306"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I214" i="11"/>
  <c r="I215" i="11"/>
  <c r="I216" i="11"/>
  <c r="I217" i="11"/>
  <c r="I218" i="11"/>
  <c r="I219" i="11"/>
  <c r="I220" i="11"/>
  <c r="I221" i="11"/>
  <c r="I222" i="11"/>
  <c r="I223" i="11"/>
  <c r="I224" i="11"/>
  <c r="I225" i="11"/>
  <c r="I226" i="11"/>
  <c r="I227" i="11"/>
  <c r="I228" i="11"/>
  <c r="I229" i="11"/>
  <c r="I230" i="11"/>
  <c r="I231" i="11"/>
  <c r="I232" i="11"/>
  <c r="I233" i="11"/>
  <c r="I234" i="11"/>
  <c r="I235" i="11"/>
  <c r="I236" i="11"/>
  <c r="I237" i="11"/>
  <c r="I238" i="11"/>
  <c r="I239" i="11"/>
  <c r="I240" i="11"/>
  <c r="I241" i="11"/>
  <c r="I242" i="11"/>
  <c r="I243" i="11"/>
  <c r="I244" i="11"/>
  <c r="I245" i="11"/>
  <c r="I246" i="11"/>
  <c r="I247" i="11"/>
  <c r="I248" i="11"/>
  <c r="I249" i="11"/>
  <c r="I250" i="11"/>
  <c r="I251" i="11"/>
  <c r="I252" i="11"/>
  <c r="I253" i="11"/>
  <c r="I254" i="11"/>
  <c r="I255" i="11"/>
  <c r="I256" i="11"/>
  <c r="I257" i="11"/>
  <c r="I258" i="11"/>
  <c r="I259" i="11"/>
  <c r="I260" i="11"/>
  <c r="I261" i="11"/>
  <c r="I262" i="11"/>
  <c r="I263" i="11"/>
  <c r="I264" i="11"/>
  <c r="I265" i="11"/>
  <c r="I266" i="11"/>
  <c r="I267" i="11"/>
  <c r="I268" i="11"/>
  <c r="I269" i="11"/>
  <c r="I270" i="11"/>
  <c r="I271" i="11"/>
  <c r="I272" i="11"/>
  <c r="I273" i="11"/>
  <c r="I274" i="11"/>
  <c r="I275" i="11"/>
  <c r="I276" i="11"/>
  <c r="I277" i="11"/>
  <c r="I278" i="11"/>
  <c r="I279" i="11"/>
  <c r="I280" i="11"/>
  <c r="I281" i="11"/>
  <c r="I282" i="11"/>
  <c r="I283" i="11"/>
  <c r="I284" i="11"/>
  <c r="I285" i="11"/>
  <c r="I286" i="11"/>
  <c r="I287" i="11"/>
  <c r="I288" i="11"/>
  <c r="I289" i="11"/>
  <c r="I290" i="11"/>
  <c r="I291" i="11"/>
  <c r="I292" i="11"/>
  <c r="I293" i="11"/>
  <c r="I294" i="11"/>
  <c r="I295" i="11"/>
  <c r="I296" i="11"/>
  <c r="I297" i="11"/>
  <c r="I298" i="11"/>
  <c r="I299" i="11"/>
  <c r="I300" i="11"/>
  <c r="I301" i="11"/>
  <c r="I302" i="11"/>
  <c r="I303" i="11"/>
  <c r="I304" i="11"/>
  <c r="I305" i="11"/>
  <c r="I306" i="11"/>
  <c r="AT5" i="11"/>
  <c r="AT6" i="11"/>
  <c r="AT7" i="11"/>
  <c r="AT8" i="11"/>
  <c r="AT9" i="11"/>
  <c r="AT10" i="11"/>
  <c r="AT11" i="11"/>
  <c r="AT12" i="11"/>
  <c r="AT13" i="11"/>
  <c r="AT14" i="11"/>
  <c r="AT15" i="11"/>
  <c r="AT16" i="11"/>
  <c r="AT17" i="11"/>
  <c r="AT18" i="11"/>
  <c r="AT19" i="11"/>
  <c r="AT20" i="11"/>
  <c r="AT21" i="11"/>
  <c r="AT22" i="11"/>
  <c r="AT23" i="11"/>
  <c r="AT24" i="11"/>
  <c r="AT25" i="11"/>
  <c r="AT26" i="11"/>
  <c r="AT27" i="11"/>
  <c r="AT28" i="11"/>
  <c r="AT29" i="11"/>
  <c r="AT30" i="11"/>
  <c r="AT31" i="11"/>
  <c r="AT32" i="11"/>
  <c r="AT33" i="11"/>
  <c r="AT34" i="11"/>
  <c r="AT35" i="11"/>
  <c r="AT36" i="11"/>
  <c r="AT37" i="11"/>
  <c r="AT38" i="11"/>
  <c r="AT39" i="11"/>
  <c r="AT40" i="11"/>
  <c r="AT41" i="11"/>
  <c r="AT42" i="11"/>
  <c r="AT43" i="11"/>
  <c r="AT44" i="11"/>
  <c r="AT45" i="11"/>
  <c r="AT46" i="11"/>
  <c r="AT47" i="11"/>
  <c r="AT48" i="11"/>
  <c r="AT49" i="11"/>
  <c r="AT50" i="11"/>
  <c r="AT51" i="11"/>
  <c r="AT52" i="11"/>
  <c r="AT53" i="11"/>
  <c r="AT54" i="11"/>
  <c r="AT55" i="11"/>
  <c r="AT56" i="11"/>
  <c r="AT57" i="11"/>
  <c r="AT58" i="11"/>
  <c r="AT59" i="11"/>
  <c r="AT60" i="11"/>
  <c r="AT61" i="11"/>
  <c r="AT62" i="11"/>
  <c r="AT63" i="11"/>
  <c r="AT64" i="11"/>
  <c r="AT65" i="11"/>
  <c r="AT66" i="11"/>
  <c r="AT67" i="11"/>
  <c r="AT68" i="11"/>
  <c r="AT69" i="11"/>
  <c r="AT70" i="11"/>
  <c r="AT71" i="11"/>
  <c r="AT72" i="11"/>
  <c r="AT73" i="11"/>
  <c r="AT74" i="11"/>
  <c r="AT75" i="11"/>
  <c r="AT76" i="11"/>
  <c r="AT77" i="11"/>
  <c r="AT78" i="11"/>
  <c r="AT79" i="11"/>
  <c r="AT80" i="11"/>
  <c r="AT81" i="11"/>
  <c r="AT82" i="11"/>
  <c r="AT83" i="11"/>
  <c r="AT84" i="11"/>
  <c r="AT85" i="11"/>
  <c r="AT86" i="11"/>
  <c r="AT87" i="11"/>
  <c r="AT88" i="11"/>
  <c r="AT89" i="11"/>
  <c r="AT90" i="11"/>
  <c r="AT91" i="11"/>
  <c r="AT92" i="11"/>
  <c r="AT93" i="11"/>
  <c r="AT94" i="11"/>
  <c r="AT95" i="11"/>
  <c r="AT96" i="11"/>
  <c r="AT97" i="11"/>
  <c r="AT98" i="11"/>
  <c r="AT99" i="11"/>
  <c r="AT100" i="11"/>
  <c r="AT101" i="11"/>
  <c r="AT102" i="11"/>
  <c r="AT103" i="11"/>
  <c r="AT104" i="11"/>
  <c r="AT105" i="11"/>
  <c r="AT106" i="11"/>
  <c r="AT107" i="11"/>
  <c r="AT108" i="11"/>
  <c r="AT109" i="11"/>
  <c r="AT110" i="11"/>
  <c r="AT111" i="11"/>
  <c r="AT112" i="11"/>
  <c r="AT113" i="11"/>
  <c r="AT114" i="11"/>
  <c r="AT115" i="11"/>
  <c r="AT116" i="11"/>
  <c r="AT117" i="11"/>
  <c r="AT118" i="11"/>
  <c r="AT119" i="11"/>
  <c r="AT120" i="11"/>
  <c r="AT121" i="11"/>
  <c r="AT122" i="11"/>
  <c r="AT123" i="11"/>
  <c r="AT124" i="11"/>
  <c r="AT125" i="11"/>
  <c r="AT126" i="11"/>
  <c r="AT127" i="11"/>
  <c r="AT128" i="11"/>
  <c r="AT129" i="11"/>
  <c r="AT130" i="11"/>
  <c r="AT131" i="11"/>
  <c r="AT132" i="11"/>
  <c r="AT133" i="11"/>
  <c r="AT134" i="11"/>
  <c r="AT135" i="11"/>
  <c r="AT136" i="11"/>
  <c r="AT137" i="11"/>
  <c r="AT138" i="11"/>
  <c r="AT139" i="11"/>
  <c r="AT140" i="11"/>
  <c r="AT141" i="11"/>
  <c r="AT142" i="11"/>
  <c r="AT143" i="11"/>
  <c r="AT144" i="11"/>
  <c r="AT145" i="11"/>
  <c r="AT146" i="11"/>
  <c r="AT147" i="11"/>
  <c r="AT148" i="11"/>
  <c r="AT149" i="11"/>
  <c r="AT150" i="11"/>
  <c r="AT151" i="11"/>
  <c r="AT152" i="11"/>
  <c r="AT153" i="11"/>
  <c r="AT154" i="11"/>
  <c r="AT155" i="11"/>
  <c r="AT156" i="11"/>
  <c r="AT157" i="11"/>
  <c r="AT158" i="11"/>
  <c r="AT159" i="11"/>
  <c r="AT160" i="11"/>
  <c r="AT161" i="11"/>
  <c r="AT162" i="11"/>
  <c r="AT163" i="11"/>
  <c r="AT164" i="11"/>
  <c r="AT165" i="11"/>
  <c r="AT166" i="11"/>
  <c r="AT167" i="11"/>
  <c r="AT168" i="11"/>
  <c r="AT169" i="11"/>
  <c r="AT170" i="11"/>
  <c r="AT171" i="11"/>
  <c r="AT172" i="11"/>
  <c r="AT173" i="11"/>
  <c r="AT174" i="11"/>
  <c r="AT175" i="11"/>
  <c r="AT176" i="11"/>
  <c r="AT177" i="11"/>
  <c r="AT178" i="11"/>
  <c r="AT179" i="11"/>
  <c r="AT180" i="11"/>
  <c r="AT181" i="11"/>
  <c r="AT182" i="11"/>
  <c r="AT183" i="11"/>
  <c r="AT184" i="11"/>
  <c r="AT185" i="11"/>
  <c r="AT186" i="11"/>
  <c r="AT187" i="11"/>
  <c r="AT188" i="11"/>
  <c r="AT189" i="11"/>
  <c r="AT190" i="11"/>
  <c r="AT191" i="11"/>
  <c r="AT192" i="11"/>
  <c r="AT193" i="11"/>
  <c r="AT194" i="11"/>
  <c r="AT195" i="11"/>
  <c r="AT196" i="11"/>
  <c r="AT197" i="11"/>
  <c r="AT198" i="11"/>
  <c r="AT199" i="11"/>
  <c r="AT200" i="11"/>
  <c r="AT201" i="11"/>
  <c r="AT202" i="11"/>
  <c r="AT203" i="11"/>
  <c r="AT204" i="11"/>
  <c r="AT205" i="11"/>
  <c r="AT206" i="11"/>
  <c r="AT207" i="11"/>
  <c r="AT208" i="11"/>
  <c r="AT209" i="11"/>
  <c r="AT210" i="11"/>
  <c r="AT211" i="11"/>
  <c r="AT212" i="11"/>
  <c r="AT213" i="11"/>
  <c r="AT214" i="11"/>
  <c r="AT215" i="11"/>
  <c r="AT216" i="11"/>
  <c r="AT217" i="11"/>
  <c r="AT218" i="11"/>
  <c r="AT219" i="11"/>
  <c r="AT220" i="11"/>
  <c r="AT221" i="11"/>
  <c r="AT222" i="11"/>
  <c r="AT223" i="11"/>
  <c r="AT224" i="11"/>
  <c r="AT225" i="11"/>
  <c r="AT226" i="11"/>
  <c r="AT227" i="11"/>
  <c r="AT228" i="11"/>
  <c r="AT229" i="11"/>
  <c r="AT230" i="11"/>
  <c r="AT231" i="11"/>
  <c r="AT232" i="11"/>
  <c r="AT233" i="11"/>
  <c r="AT234" i="11"/>
  <c r="AT235" i="11"/>
  <c r="AT236" i="11"/>
  <c r="AT237" i="11"/>
  <c r="AT238" i="11"/>
  <c r="AT239" i="11"/>
  <c r="AT240" i="11"/>
  <c r="AT241" i="11"/>
  <c r="AT242" i="11"/>
  <c r="AT243" i="11"/>
  <c r="AT244" i="11"/>
  <c r="AT245" i="11"/>
  <c r="AT246" i="11"/>
  <c r="AT247" i="11"/>
  <c r="AT248" i="11"/>
  <c r="AT249" i="11"/>
  <c r="AT250" i="11"/>
  <c r="AT251" i="11"/>
  <c r="AT252" i="11"/>
  <c r="AT253" i="11"/>
  <c r="AT254" i="11"/>
  <c r="AT255" i="11"/>
  <c r="AT256" i="11"/>
  <c r="AT257" i="11"/>
  <c r="AT258" i="11"/>
  <c r="AT259" i="11"/>
  <c r="AT260" i="11"/>
  <c r="AT261" i="11"/>
  <c r="AT262" i="11"/>
  <c r="AT263" i="11"/>
  <c r="AT264" i="11"/>
  <c r="AT265" i="11"/>
  <c r="AT266" i="11"/>
  <c r="AT267" i="11"/>
  <c r="AT268" i="11"/>
  <c r="AT269" i="11"/>
  <c r="AT270" i="11"/>
  <c r="AT271" i="11"/>
  <c r="AT272" i="11"/>
  <c r="AT273" i="11"/>
  <c r="AT274" i="11"/>
  <c r="AT275" i="11"/>
  <c r="AT276" i="11"/>
  <c r="AT277" i="11"/>
  <c r="AT278" i="11"/>
  <c r="AT279" i="11"/>
  <c r="AT280" i="11"/>
  <c r="AT281" i="11"/>
  <c r="AT282" i="11"/>
  <c r="AT283" i="11"/>
  <c r="AT284" i="11"/>
  <c r="AT285" i="11"/>
  <c r="AT286" i="11"/>
  <c r="AT287" i="11"/>
  <c r="AT288" i="11"/>
  <c r="AT289" i="11"/>
  <c r="AT290" i="11"/>
  <c r="AT291" i="11"/>
  <c r="AT292" i="11"/>
  <c r="AT293" i="11"/>
  <c r="AT294" i="11"/>
  <c r="AT295" i="11"/>
  <c r="AT296" i="11"/>
  <c r="AT297" i="11"/>
  <c r="AT298" i="11"/>
  <c r="AT299" i="11"/>
  <c r="AT300" i="11"/>
  <c r="AT301" i="11"/>
  <c r="AT302" i="11"/>
  <c r="AT303" i="11"/>
  <c r="AT304" i="11"/>
  <c r="AT305" i="11"/>
  <c r="AT306" i="11"/>
  <c r="AN6" i="11"/>
  <c r="AN7" i="11"/>
  <c r="AN8" i="11"/>
  <c r="AN9" i="11"/>
  <c r="AN10" i="11"/>
  <c r="AN11" i="11"/>
  <c r="AN12" i="11"/>
  <c r="AN13" i="11"/>
  <c r="AN14" i="11"/>
  <c r="AN15" i="11"/>
  <c r="AN16" i="11"/>
  <c r="AN17" i="11"/>
  <c r="AN18" i="11"/>
  <c r="AN19" i="11"/>
  <c r="AN20" i="11"/>
  <c r="AN21" i="11"/>
  <c r="AN22" i="11"/>
  <c r="AN23" i="11"/>
  <c r="AN24" i="11"/>
  <c r="AN25" i="11"/>
  <c r="AN26" i="11"/>
  <c r="AN27" i="11"/>
  <c r="AN28" i="11"/>
  <c r="AN29" i="11"/>
  <c r="AN30" i="11"/>
  <c r="AN31" i="11"/>
  <c r="AN32" i="11"/>
  <c r="AN33" i="11"/>
  <c r="AN34" i="11"/>
  <c r="AN35" i="11"/>
  <c r="AN36" i="11"/>
  <c r="AN37" i="11"/>
  <c r="AN38" i="11"/>
  <c r="AN39" i="11"/>
  <c r="AN40" i="11"/>
  <c r="AN41" i="11"/>
  <c r="AN42" i="11"/>
  <c r="AN43" i="11"/>
  <c r="AN44" i="11"/>
  <c r="AN45" i="11"/>
  <c r="AN46" i="11"/>
  <c r="AN47" i="11"/>
  <c r="AN48" i="11"/>
  <c r="AN49" i="11"/>
  <c r="AN50" i="11"/>
  <c r="AN51" i="11"/>
  <c r="AN52" i="11"/>
  <c r="AN53" i="11"/>
  <c r="AN54" i="11"/>
  <c r="AN55" i="11"/>
  <c r="AN56" i="11"/>
  <c r="AN57" i="11"/>
  <c r="AN58" i="11"/>
  <c r="AN59" i="11"/>
  <c r="AN60" i="11"/>
  <c r="AN61" i="11"/>
  <c r="AN62" i="11"/>
  <c r="AN63" i="11"/>
  <c r="AN64" i="11"/>
  <c r="AN65" i="11"/>
  <c r="AN66" i="11"/>
  <c r="AN67" i="11"/>
  <c r="AN68" i="11"/>
  <c r="AN69" i="11"/>
  <c r="AN70" i="11"/>
  <c r="AN71" i="11"/>
  <c r="AN72" i="11"/>
  <c r="AN73" i="11"/>
  <c r="AN74" i="11"/>
  <c r="AN75" i="11"/>
  <c r="AN76" i="11"/>
  <c r="AN77" i="11"/>
  <c r="AN78" i="11"/>
  <c r="AN79" i="11"/>
  <c r="AN80" i="11"/>
  <c r="AN81" i="11"/>
  <c r="AN82" i="11"/>
  <c r="AN83" i="11"/>
  <c r="AN84" i="11"/>
  <c r="AN85" i="11"/>
  <c r="AN86" i="11"/>
  <c r="AN87" i="11"/>
  <c r="AN88" i="11"/>
  <c r="AN89" i="11"/>
  <c r="AN90" i="11"/>
  <c r="AN91" i="11"/>
  <c r="AN92" i="11"/>
  <c r="AN93" i="11"/>
  <c r="AN94" i="11"/>
  <c r="AN95" i="11"/>
  <c r="AN96" i="11"/>
  <c r="AN97" i="11"/>
  <c r="AN98" i="11"/>
  <c r="AN99" i="11"/>
  <c r="AN100" i="11"/>
  <c r="AN101" i="11"/>
  <c r="AN102" i="11"/>
  <c r="AN103" i="11"/>
  <c r="AN104" i="11"/>
  <c r="AN105" i="11"/>
  <c r="AN106" i="11"/>
  <c r="AN107" i="11"/>
  <c r="AN108" i="11"/>
  <c r="AN109" i="11"/>
  <c r="AN110" i="11"/>
  <c r="AN111" i="11"/>
  <c r="AN112" i="11"/>
  <c r="AN113" i="11"/>
  <c r="AN114" i="11"/>
  <c r="AN115" i="11"/>
  <c r="AN116" i="11"/>
  <c r="AN117" i="11"/>
  <c r="AN118" i="11"/>
  <c r="AN119" i="11"/>
  <c r="AN120" i="11"/>
  <c r="AN121" i="11"/>
  <c r="AN122" i="11"/>
  <c r="AN123" i="11"/>
  <c r="AN124" i="11"/>
  <c r="AN125" i="11"/>
  <c r="AN126" i="11"/>
  <c r="AN127" i="11"/>
  <c r="AN128" i="11"/>
  <c r="AN129" i="11"/>
  <c r="AN130" i="11"/>
  <c r="AN131" i="11"/>
  <c r="AN132" i="11"/>
  <c r="AN133" i="11"/>
  <c r="AN134" i="11"/>
  <c r="AN135" i="11"/>
  <c r="AN136" i="11"/>
  <c r="AN137" i="11"/>
  <c r="AN138" i="11"/>
  <c r="AN139" i="11"/>
  <c r="AN140" i="11"/>
  <c r="AN141" i="11"/>
  <c r="AN142" i="11"/>
  <c r="AN143" i="11"/>
  <c r="AN144" i="11"/>
  <c r="AN145" i="11"/>
  <c r="AN146" i="11"/>
  <c r="AN147" i="11"/>
  <c r="AN148" i="11"/>
  <c r="AN149" i="11"/>
  <c r="AN150" i="11"/>
  <c r="AN151" i="11"/>
  <c r="AN152" i="11"/>
  <c r="AN153" i="11"/>
  <c r="AN154" i="11"/>
  <c r="AN155" i="11"/>
  <c r="AN156" i="11"/>
  <c r="AN157" i="11"/>
  <c r="AN158" i="11"/>
  <c r="AN159" i="11"/>
  <c r="AN160" i="11"/>
  <c r="AN161" i="11"/>
  <c r="AN162" i="11"/>
  <c r="AN163" i="11"/>
  <c r="AN164" i="11"/>
  <c r="AN165" i="11"/>
  <c r="AN166" i="11"/>
  <c r="AN167" i="11"/>
  <c r="AN168" i="11"/>
  <c r="AN169" i="11"/>
  <c r="AN170" i="11"/>
  <c r="AN171" i="11"/>
  <c r="AN172" i="11"/>
  <c r="AN173" i="11"/>
  <c r="AN174" i="11"/>
  <c r="AN175" i="11"/>
  <c r="AN176" i="11"/>
  <c r="AN177" i="11"/>
  <c r="AN178" i="11"/>
  <c r="AN179" i="11"/>
  <c r="AN180" i="11"/>
  <c r="AN181" i="11"/>
  <c r="AN182" i="11"/>
  <c r="AN183" i="11"/>
  <c r="AN184" i="11"/>
  <c r="AN185" i="11"/>
  <c r="AN186" i="11"/>
  <c r="AN187" i="11"/>
  <c r="AN188" i="11"/>
  <c r="AN189" i="11"/>
  <c r="AN190" i="11"/>
  <c r="AN191" i="11"/>
  <c r="AN192" i="11"/>
  <c r="AN193" i="11"/>
  <c r="AN194" i="11"/>
  <c r="AN195" i="11"/>
  <c r="AN196" i="11"/>
  <c r="AN197" i="11"/>
  <c r="AN198" i="11"/>
  <c r="AN199" i="11"/>
  <c r="AN200" i="11"/>
  <c r="AN201" i="11"/>
  <c r="AN202" i="11"/>
  <c r="AN203" i="11"/>
  <c r="AN204" i="11"/>
  <c r="AN205" i="11"/>
  <c r="AN206" i="11"/>
  <c r="AN207" i="11"/>
  <c r="AN208" i="11"/>
  <c r="AN209" i="11"/>
  <c r="AN210" i="11"/>
  <c r="AN211" i="11"/>
  <c r="AN212" i="11"/>
  <c r="AN213" i="11"/>
  <c r="AN214" i="11"/>
  <c r="AN215" i="11"/>
  <c r="AN216" i="11"/>
  <c r="AN217" i="11"/>
  <c r="AN218" i="11"/>
  <c r="AN219" i="11"/>
  <c r="AN220" i="11"/>
  <c r="AN221" i="11"/>
  <c r="AN222" i="11"/>
  <c r="AN223" i="11"/>
  <c r="AN224" i="11"/>
  <c r="AN225" i="11"/>
  <c r="AN226" i="11"/>
  <c r="AN227" i="11"/>
  <c r="AN228" i="11"/>
  <c r="AN229" i="11"/>
  <c r="AN230" i="11"/>
  <c r="AN231" i="11"/>
  <c r="AN232" i="11"/>
  <c r="AN233" i="11"/>
  <c r="AN234" i="11"/>
  <c r="AN235" i="11"/>
  <c r="AN236" i="11"/>
  <c r="AN237" i="11"/>
  <c r="AN238" i="11"/>
  <c r="AN239" i="11"/>
  <c r="AN240" i="11"/>
  <c r="AN241" i="11"/>
  <c r="AN242" i="11"/>
  <c r="AN243" i="11"/>
  <c r="AN244" i="11"/>
  <c r="AN245" i="11"/>
  <c r="AN246" i="11"/>
  <c r="AN247" i="11"/>
  <c r="AN248" i="11"/>
  <c r="AN249" i="11"/>
  <c r="AN250" i="11"/>
  <c r="AN251" i="11"/>
  <c r="AN252" i="11"/>
  <c r="AN253" i="11"/>
  <c r="AN254" i="11"/>
  <c r="AN255" i="11"/>
  <c r="AN256" i="11"/>
  <c r="AN257" i="11"/>
  <c r="AN258" i="11"/>
  <c r="AN259" i="11"/>
  <c r="AN260" i="11"/>
  <c r="AN261" i="11"/>
  <c r="AN262" i="11"/>
  <c r="AN263" i="11"/>
  <c r="AN264" i="11"/>
  <c r="AN265" i="11"/>
  <c r="AN266" i="11"/>
  <c r="AN267" i="11"/>
  <c r="AN268" i="11"/>
  <c r="AN269" i="11"/>
  <c r="AN270" i="11"/>
  <c r="AN271" i="11"/>
  <c r="AN272" i="11"/>
  <c r="AN273" i="11"/>
  <c r="AN274" i="11"/>
  <c r="AN275" i="11"/>
  <c r="AN276" i="11"/>
  <c r="AN277" i="11"/>
  <c r="AN278" i="11"/>
  <c r="AN279" i="11"/>
  <c r="AN280" i="11"/>
  <c r="AN281" i="11"/>
  <c r="AN282" i="11"/>
  <c r="AN283" i="11"/>
  <c r="AN284" i="11"/>
  <c r="AN285" i="11"/>
  <c r="AN286" i="11"/>
  <c r="AN287" i="11"/>
  <c r="AN288" i="11"/>
  <c r="AN289" i="11"/>
  <c r="AN290" i="11"/>
  <c r="AN291" i="11"/>
  <c r="AN292" i="11"/>
  <c r="AN293" i="11"/>
  <c r="AN294" i="11"/>
  <c r="AN295" i="11"/>
  <c r="AN296" i="11"/>
  <c r="AN297" i="11"/>
  <c r="AN298" i="11"/>
  <c r="AN299" i="11"/>
  <c r="AN300" i="11"/>
  <c r="AN301" i="11"/>
  <c r="AN302" i="11"/>
  <c r="AN303" i="11"/>
  <c r="AN304" i="11"/>
  <c r="AN305" i="11"/>
  <c r="AN306" i="11"/>
  <c r="AB6" i="11"/>
  <c r="AB7" i="11"/>
  <c r="AB8" i="11"/>
  <c r="AB9" i="11"/>
  <c r="AB10" i="11"/>
  <c r="AB11" i="11"/>
  <c r="AB12" i="11"/>
  <c r="AB13" i="11"/>
  <c r="AB14" i="11"/>
  <c r="AB15" i="11"/>
  <c r="AB16" i="11"/>
  <c r="AB17" i="11"/>
  <c r="AB18" i="11"/>
  <c r="AB19" i="11"/>
  <c r="AB20" i="11"/>
  <c r="AB21" i="11"/>
  <c r="AB22" i="11"/>
  <c r="AB23" i="11"/>
  <c r="AB24" i="11"/>
  <c r="AB25" i="11"/>
  <c r="AB26" i="11"/>
  <c r="AB27" i="11"/>
  <c r="AB28" i="11"/>
  <c r="AB29" i="11"/>
  <c r="AB30" i="11"/>
  <c r="AB31" i="11"/>
  <c r="AB32" i="11"/>
  <c r="AB33" i="11"/>
  <c r="AB34" i="11"/>
  <c r="AB35" i="11"/>
  <c r="AB36" i="11"/>
  <c r="AB37" i="11"/>
  <c r="AB38" i="11"/>
  <c r="AB39" i="11"/>
  <c r="AB40" i="11"/>
  <c r="AB41" i="11"/>
  <c r="AB42" i="11"/>
  <c r="AB43" i="11"/>
  <c r="AB44" i="11"/>
  <c r="AB45" i="11"/>
  <c r="AB46" i="11"/>
  <c r="AB47" i="11"/>
  <c r="AB48" i="11"/>
  <c r="AB49" i="11"/>
  <c r="AB50" i="11"/>
  <c r="AB51" i="11"/>
  <c r="AB52" i="11"/>
  <c r="AB53" i="11"/>
  <c r="AB54" i="11"/>
  <c r="AB55" i="11"/>
  <c r="AB56" i="11"/>
  <c r="AB57" i="11"/>
  <c r="AB58" i="11"/>
  <c r="AB59" i="11"/>
  <c r="AB60" i="11"/>
  <c r="AB61" i="11"/>
  <c r="AB62" i="11"/>
  <c r="AB63" i="11"/>
  <c r="AB64" i="11"/>
  <c r="AB65" i="11"/>
  <c r="AB66" i="11"/>
  <c r="AB67" i="11"/>
  <c r="AB68" i="11"/>
  <c r="AB69" i="11"/>
  <c r="AB70" i="11"/>
  <c r="AB71" i="11"/>
  <c r="AB72" i="11"/>
  <c r="AB73" i="11"/>
  <c r="AB74" i="11"/>
  <c r="AB75" i="11"/>
  <c r="AB76" i="11"/>
  <c r="AB77" i="11"/>
  <c r="AB78" i="11"/>
  <c r="AB79" i="11"/>
  <c r="AB80" i="11"/>
  <c r="AB81" i="11"/>
  <c r="AB82" i="11"/>
  <c r="AB83" i="11"/>
  <c r="AB84" i="11"/>
  <c r="AB85" i="11"/>
  <c r="AB86" i="11"/>
  <c r="AB87" i="11"/>
  <c r="AB88" i="11"/>
  <c r="AB89" i="11"/>
  <c r="AB90" i="11"/>
  <c r="AB91" i="11"/>
  <c r="AB92" i="11"/>
  <c r="AB93" i="11"/>
  <c r="AB94" i="11"/>
  <c r="AB95" i="11"/>
  <c r="AB96" i="11"/>
  <c r="AB97" i="11"/>
  <c r="AB98" i="11"/>
  <c r="AB99" i="11"/>
  <c r="AB100" i="11"/>
  <c r="AB101" i="11"/>
  <c r="AB102" i="11"/>
  <c r="AB103" i="11"/>
  <c r="AB104" i="11"/>
  <c r="AB105" i="11"/>
  <c r="AB106" i="11"/>
  <c r="AB107" i="11"/>
  <c r="AB108" i="11"/>
  <c r="AB109" i="11"/>
  <c r="AB110" i="11"/>
  <c r="AB111" i="11"/>
  <c r="AB112" i="11"/>
  <c r="AB113" i="11"/>
  <c r="AB114" i="11"/>
  <c r="AB115" i="11"/>
  <c r="AB116" i="11"/>
  <c r="AB117" i="11"/>
  <c r="AB118" i="11"/>
  <c r="AB119" i="11"/>
  <c r="AB120" i="11"/>
  <c r="AB121" i="11"/>
  <c r="AB122" i="11"/>
  <c r="AB123" i="11"/>
  <c r="AB124" i="11"/>
  <c r="AB125" i="11"/>
  <c r="AB126" i="11"/>
  <c r="AB127" i="11"/>
  <c r="AB128" i="11"/>
  <c r="AB129" i="11"/>
  <c r="AB130" i="11"/>
  <c r="AB131" i="11"/>
  <c r="AB132" i="11"/>
  <c r="AB133" i="11"/>
  <c r="AB134" i="11"/>
  <c r="AB135" i="11"/>
  <c r="AB136" i="11"/>
  <c r="AB137" i="11"/>
  <c r="AB138" i="11"/>
  <c r="AB139" i="11"/>
  <c r="AB140" i="11"/>
  <c r="AB141" i="11"/>
  <c r="AB142" i="11"/>
  <c r="AB143" i="11"/>
  <c r="AB144" i="11"/>
  <c r="AB145" i="11"/>
  <c r="AB146" i="11"/>
  <c r="AB147" i="11"/>
  <c r="AB148" i="11"/>
  <c r="AB149" i="11"/>
  <c r="AB150" i="11"/>
  <c r="AB151" i="11"/>
  <c r="AB152" i="11"/>
  <c r="AB153" i="11"/>
  <c r="AB154" i="11"/>
  <c r="AB155" i="11"/>
  <c r="AB156" i="11"/>
  <c r="AB157" i="11"/>
  <c r="AB158" i="11"/>
  <c r="AB159" i="11"/>
  <c r="AB160" i="11"/>
  <c r="AB161" i="11"/>
  <c r="AB162" i="11"/>
  <c r="AB163" i="11"/>
  <c r="AB164" i="11"/>
  <c r="AB165" i="11"/>
  <c r="AB166" i="11"/>
  <c r="AB167" i="11"/>
  <c r="AB168" i="11"/>
  <c r="AB169" i="11"/>
  <c r="AB170" i="11"/>
  <c r="AB171" i="11"/>
  <c r="AB172" i="11"/>
  <c r="AB173" i="11"/>
  <c r="AB174" i="11"/>
  <c r="AB175" i="11"/>
  <c r="AB176" i="11"/>
  <c r="AB177" i="11"/>
  <c r="AB178" i="11"/>
  <c r="AB179" i="11"/>
  <c r="AB180" i="11"/>
  <c r="AB181" i="11"/>
  <c r="AB182" i="11"/>
  <c r="AB183" i="11"/>
  <c r="AB184" i="11"/>
  <c r="AB185" i="11"/>
  <c r="AB186" i="11"/>
  <c r="AB187" i="11"/>
  <c r="AB188" i="11"/>
  <c r="AB189" i="11"/>
  <c r="AB190" i="11"/>
  <c r="AB191" i="11"/>
  <c r="AB192" i="11"/>
  <c r="AB193" i="11"/>
  <c r="AB194" i="11"/>
  <c r="AB195" i="11"/>
  <c r="AB196" i="11"/>
  <c r="AB197" i="11"/>
  <c r="AB198" i="11"/>
  <c r="AB199" i="11"/>
  <c r="AB200" i="11"/>
  <c r="AB201" i="11"/>
  <c r="AB202" i="11"/>
  <c r="AB203" i="11"/>
  <c r="AB204" i="11"/>
  <c r="AB205" i="11"/>
  <c r="AB206" i="11"/>
  <c r="AB207" i="11"/>
  <c r="AB208" i="11"/>
  <c r="AB209" i="11"/>
  <c r="AB210" i="11"/>
  <c r="AB211" i="11"/>
  <c r="AB212" i="11"/>
  <c r="AB213" i="11"/>
  <c r="AB214" i="11"/>
  <c r="AB215" i="11"/>
  <c r="AB216" i="11"/>
  <c r="AB217" i="11"/>
  <c r="AB218" i="11"/>
  <c r="AB219" i="11"/>
  <c r="AB220" i="11"/>
  <c r="AB221" i="11"/>
  <c r="AB222" i="11"/>
  <c r="AB223" i="11"/>
  <c r="AB224" i="11"/>
  <c r="AB225" i="11"/>
  <c r="AB226" i="11"/>
  <c r="AB227" i="11"/>
  <c r="AB228" i="11"/>
  <c r="AB229" i="11"/>
  <c r="AB230" i="11"/>
  <c r="AB231" i="11"/>
  <c r="AB232" i="11"/>
  <c r="AB233" i="11"/>
  <c r="AB234" i="11"/>
  <c r="AB235" i="11"/>
  <c r="AB236" i="11"/>
  <c r="AB237" i="11"/>
  <c r="AB238" i="11"/>
  <c r="AB239" i="11"/>
  <c r="AB240" i="11"/>
  <c r="AB241" i="11"/>
  <c r="AB242" i="11"/>
  <c r="AB243" i="11"/>
  <c r="AB244" i="11"/>
  <c r="AB245" i="11"/>
  <c r="AB246" i="11"/>
  <c r="AB247" i="11"/>
  <c r="AB248" i="11"/>
  <c r="AB249" i="11"/>
  <c r="AB250" i="11"/>
  <c r="AB251" i="11"/>
  <c r="AB252" i="11"/>
  <c r="AB253" i="11"/>
  <c r="AB254" i="11"/>
  <c r="AB255" i="11"/>
  <c r="AB256" i="11"/>
  <c r="AB257" i="11"/>
  <c r="AB258" i="11"/>
  <c r="AB259" i="11"/>
  <c r="AB260" i="11"/>
  <c r="AB261" i="11"/>
  <c r="AB262" i="11"/>
  <c r="AB263" i="11"/>
  <c r="AB264" i="11"/>
  <c r="AB265" i="11"/>
  <c r="AB266" i="11"/>
  <c r="AB267" i="11"/>
  <c r="AB268" i="11"/>
  <c r="AB269" i="11"/>
  <c r="AB270" i="11"/>
  <c r="AB271" i="11"/>
  <c r="AB272" i="11"/>
  <c r="AB273" i="11"/>
  <c r="AB274" i="11"/>
  <c r="AB275" i="11"/>
  <c r="AB276" i="11"/>
  <c r="AB277" i="11"/>
  <c r="AB278" i="11"/>
  <c r="AB279" i="11"/>
  <c r="AB280" i="11"/>
  <c r="AB281" i="11"/>
  <c r="AB282" i="11"/>
  <c r="AB283" i="11"/>
  <c r="AB284" i="11"/>
  <c r="AB285" i="11"/>
  <c r="AB286" i="11"/>
  <c r="AB287" i="11"/>
  <c r="AB288" i="11"/>
  <c r="AB289" i="11"/>
  <c r="AB290" i="11"/>
  <c r="AB291" i="11"/>
  <c r="AB292" i="11"/>
  <c r="AB293" i="11"/>
  <c r="AB294" i="11"/>
  <c r="AB295" i="11"/>
  <c r="AB296" i="11"/>
  <c r="AB297" i="11"/>
  <c r="AB298" i="11"/>
  <c r="AB299" i="11"/>
  <c r="AB300" i="11"/>
  <c r="AB301" i="11"/>
  <c r="AB302" i="11"/>
  <c r="AB303" i="11"/>
  <c r="AB304" i="11"/>
  <c r="AB305" i="11"/>
  <c r="AB306" i="11"/>
  <c r="B7"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155" i="11"/>
  <c r="G156" i="11"/>
  <c r="G157" i="11"/>
  <c r="G158" i="11"/>
  <c r="G159" i="11"/>
  <c r="G160" i="11"/>
  <c r="G161" i="11"/>
  <c r="G162" i="11"/>
  <c r="G163" i="11"/>
  <c r="G164" i="11"/>
  <c r="G165" i="11"/>
  <c r="G166" i="11"/>
  <c r="G167" i="11"/>
  <c r="G168" i="11"/>
  <c r="G169" i="11"/>
  <c r="G170" i="11"/>
  <c r="G171" i="11"/>
  <c r="G172" i="11"/>
  <c r="G173" i="11"/>
  <c r="G174" i="11"/>
  <c r="G175" i="11"/>
  <c r="G176" i="11"/>
  <c r="G177" i="11"/>
  <c r="G178" i="11"/>
  <c r="G179" i="11"/>
  <c r="G180" i="11"/>
  <c r="G181" i="11"/>
  <c r="G182" i="11"/>
  <c r="G183" i="11"/>
  <c r="G184" i="11"/>
  <c r="G185" i="11"/>
  <c r="G186" i="11"/>
  <c r="G187" i="11"/>
  <c r="G188" i="11"/>
  <c r="G189" i="11"/>
  <c r="G190" i="11"/>
  <c r="G191" i="11"/>
  <c r="G192" i="11"/>
  <c r="G193" i="11"/>
  <c r="G194" i="11"/>
  <c r="G195" i="11"/>
  <c r="G196" i="11"/>
  <c r="G197" i="11"/>
  <c r="G198" i="11"/>
  <c r="G199" i="11"/>
  <c r="G200" i="11"/>
  <c r="G201" i="11"/>
  <c r="G202" i="11"/>
  <c r="G203" i="11"/>
  <c r="G204" i="11"/>
  <c r="G205" i="11"/>
  <c r="G206" i="11"/>
  <c r="G207" i="11"/>
  <c r="G208" i="11"/>
  <c r="G209" i="11"/>
  <c r="G210" i="11"/>
  <c r="G211" i="11"/>
  <c r="G212" i="11"/>
  <c r="G213" i="11"/>
  <c r="G214" i="11"/>
  <c r="G215" i="11"/>
  <c r="G216" i="11"/>
  <c r="G217" i="11"/>
  <c r="G218" i="11"/>
  <c r="G219" i="11"/>
  <c r="G220" i="11"/>
  <c r="G221" i="11"/>
  <c r="G222" i="11"/>
  <c r="G223" i="11"/>
  <c r="G224" i="11"/>
  <c r="G225" i="11"/>
  <c r="G226" i="11"/>
  <c r="G227" i="11"/>
  <c r="G228" i="11"/>
  <c r="G229" i="11"/>
  <c r="G230" i="11"/>
  <c r="G231" i="11"/>
  <c r="G232" i="11"/>
  <c r="G233" i="11"/>
  <c r="G234" i="11"/>
  <c r="G235" i="11"/>
  <c r="G236" i="11"/>
  <c r="G237" i="11"/>
  <c r="G238" i="11"/>
  <c r="G239" i="11"/>
  <c r="G240" i="11"/>
  <c r="G241" i="11"/>
  <c r="G242" i="11"/>
  <c r="G243" i="11"/>
  <c r="G244" i="11"/>
  <c r="G245" i="11"/>
  <c r="G246" i="11"/>
  <c r="G247" i="11"/>
  <c r="G248" i="11"/>
  <c r="G249" i="11"/>
  <c r="G250" i="11"/>
  <c r="G251" i="11"/>
  <c r="G252" i="11"/>
  <c r="G253" i="11"/>
  <c r="G254" i="11"/>
  <c r="G255" i="11"/>
  <c r="G256" i="11"/>
  <c r="G257" i="11"/>
  <c r="G258" i="11"/>
  <c r="G259" i="11"/>
  <c r="G260" i="11"/>
  <c r="G261" i="11"/>
  <c r="G262" i="11"/>
  <c r="G263" i="11"/>
  <c r="G264" i="11"/>
  <c r="G265" i="11"/>
  <c r="G266" i="11"/>
  <c r="G267" i="11"/>
  <c r="G268" i="11"/>
  <c r="G269" i="11"/>
  <c r="G270" i="11"/>
  <c r="G271" i="11"/>
  <c r="G272" i="11"/>
  <c r="G273" i="11"/>
  <c r="G274" i="11"/>
  <c r="G275" i="11"/>
  <c r="G276" i="11"/>
  <c r="G277" i="11"/>
  <c r="G278" i="11"/>
  <c r="G279" i="11"/>
  <c r="G280" i="11"/>
  <c r="G281" i="11"/>
  <c r="G282" i="11"/>
  <c r="G283" i="11"/>
  <c r="G284" i="11"/>
  <c r="G285" i="11"/>
  <c r="G286" i="11"/>
  <c r="G287" i="11"/>
  <c r="G288" i="11"/>
  <c r="G289" i="11"/>
  <c r="G290" i="11"/>
  <c r="G291" i="11"/>
  <c r="G292" i="11"/>
  <c r="G293" i="11"/>
  <c r="G294" i="11"/>
  <c r="G295" i="11"/>
  <c r="G296" i="11"/>
  <c r="G297" i="11"/>
  <c r="G298" i="11"/>
  <c r="G299" i="11"/>
  <c r="G300" i="11"/>
  <c r="G301" i="11"/>
  <c r="G302" i="11"/>
  <c r="G303" i="11"/>
  <c r="G304" i="11"/>
  <c r="G305" i="11"/>
  <c r="G306" i="11"/>
  <c r="B35" i="6"/>
  <c r="B35" i="8"/>
  <c r="B37" i="8"/>
  <c r="B38" i="8"/>
  <c r="B39" i="8"/>
  <c r="B40" i="8"/>
  <c r="B41" i="8"/>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3" i="4"/>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4" i="7"/>
  <c r="B6" i="11"/>
  <c r="B8" i="11"/>
  <c r="B9" i="11"/>
  <c r="B10" i="11"/>
  <c r="B12" i="11"/>
  <c r="B13" i="11"/>
  <c r="B14" i="11"/>
  <c r="B15" i="11"/>
  <c r="B16" i="11"/>
  <c r="B17" i="11"/>
  <c r="B18" i="11"/>
  <c r="B19" i="11"/>
  <c r="B20" i="11"/>
  <c r="B21" i="11"/>
  <c r="B22" i="11"/>
  <c r="B23" i="11"/>
  <c r="B24" i="11"/>
  <c r="B25"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5" i="11"/>
  <c r="B5" i="6"/>
  <c r="B6" i="6"/>
  <c r="B7" i="6"/>
  <c r="B8" i="6"/>
  <c r="B9" i="6"/>
  <c r="B10" i="6"/>
  <c r="B11" i="6"/>
  <c r="B12" i="6"/>
  <c r="B17" i="6"/>
  <c r="B18" i="6"/>
  <c r="B19" i="6"/>
  <c r="B20" i="6"/>
  <c r="B21" i="6"/>
  <c r="B22" i="6"/>
  <c r="B23" i="6"/>
  <c r="B24" i="6"/>
  <c r="B25" i="6"/>
  <c r="B26" i="6"/>
  <c r="B27" i="6"/>
  <c r="B28" i="6"/>
  <c r="B29" i="6"/>
  <c r="B30" i="6"/>
  <c r="B31" i="6"/>
  <c r="B32" i="6"/>
  <c r="B33" i="6"/>
  <c r="B34" i="6"/>
  <c r="B5" i="8"/>
  <c r="B6" i="8"/>
  <c r="B7" i="8"/>
  <c r="B9" i="8"/>
  <c r="B11" i="8"/>
  <c r="B12" i="8"/>
  <c r="B13" i="8"/>
  <c r="B14" i="8"/>
  <c r="B15" i="8"/>
  <c r="B16" i="8"/>
  <c r="B17" i="8"/>
  <c r="B19" i="8"/>
  <c r="B20" i="8"/>
  <c r="B21" i="8"/>
  <c r="B22" i="8"/>
  <c r="B24" i="8"/>
  <c r="B25" i="8"/>
  <c r="B26" i="8"/>
  <c r="B27" i="8"/>
  <c r="B28" i="8"/>
  <c r="B29" i="8"/>
  <c r="B30" i="8"/>
  <c r="B31" i="8"/>
  <c r="B32" i="8"/>
  <c r="B33" i="8"/>
  <c r="B34" i="8"/>
  <c r="B4" i="8"/>
  <c r="C23" i="9"/>
  <c r="B39" i="9"/>
  <c r="C39" i="9"/>
  <c r="L39" i="9"/>
  <c r="M39" i="9"/>
  <c r="P39" i="9"/>
  <c r="Q39" i="9"/>
  <c r="R39" i="9"/>
  <c r="S39" i="9"/>
  <c r="T39" i="9"/>
  <c r="U39" i="9"/>
  <c r="V39" i="9"/>
  <c r="W39" i="9"/>
  <c r="X39" i="9"/>
  <c r="Y39" i="9"/>
  <c r="Z39" i="9"/>
  <c r="AA39" i="9"/>
  <c r="AB39" i="9"/>
  <c r="AC39" i="9"/>
  <c r="AD39" i="9"/>
  <c r="B38" i="9"/>
  <c r="C38" i="9"/>
  <c r="L38" i="9"/>
  <c r="M38" i="9"/>
  <c r="P38" i="9"/>
  <c r="Q38" i="9"/>
  <c r="R38" i="9"/>
  <c r="S38" i="9"/>
  <c r="T38" i="9"/>
  <c r="U38" i="9"/>
  <c r="V38" i="9"/>
  <c r="W38" i="9"/>
  <c r="X38" i="9"/>
  <c r="Y38" i="9"/>
  <c r="Z38" i="9"/>
  <c r="AA38" i="9"/>
  <c r="AB38" i="9"/>
  <c r="AC38" i="9"/>
  <c r="AD38" i="9"/>
  <c r="B29" i="9"/>
  <c r="C29" i="9"/>
  <c r="L29" i="9"/>
  <c r="M29" i="9"/>
  <c r="P29" i="9"/>
  <c r="Q29" i="9"/>
  <c r="R29" i="9"/>
  <c r="S29" i="9"/>
  <c r="T29" i="9"/>
  <c r="U29" i="9"/>
  <c r="V29" i="9"/>
  <c r="W29" i="9"/>
  <c r="X29" i="9"/>
  <c r="Y29" i="9"/>
  <c r="Z29" i="9"/>
  <c r="AA29" i="9"/>
  <c r="AB29" i="9"/>
  <c r="AC29" i="9"/>
  <c r="AD29" i="9"/>
  <c r="B36" i="9"/>
  <c r="C36" i="9"/>
  <c r="L36" i="9"/>
  <c r="M36" i="9"/>
  <c r="P36" i="9"/>
  <c r="Q36" i="9"/>
  <c r="R36" i="9"/>
  <c r="S36" i="9"/>
  <c r="T36" i="9"/>
  <c r="U36" i="9"/>
  <c r="V36" i="9"/>
  <c r="W36" i="9"/>
  <c r="X36" i="9"/>
  <c r="Y36" i="9"/>
  <c r="Z36" i="9"/>
  <c r="AA36" i="9"/>
  <c r="AB36" i="9"/>
  <c r="AC36" i="9"/>
  <c r="AD36" i="9"/>
  <c r="B35" i="9"/>
  <c r="C35" i="9"/>
  <c r="L35" i="9"/>
  <c r="M35" i="9"/>
  <c r="P35" i="9"/>
  <c r="Q35" i="9"/>
  <c r="R35" i="9"/>
  <c r="S35" i="9"/>
  <c r="T35" i="9"/>
  <c r="U35" i="9"/>
  <c r="V35" i="9"/>
  <c r="W35" i="9"/>
  <c r="X35" i="9"/>
  <c r="Y35" i="9"/>
  <c r="Z35" i="9"/>
  <c r="AA35" i="9"/>
  <c r="AB35" i="9"/>
  <c r="AC35" i="9"/>
  <c r="AD35" i="9"/>
  <c r="B30" i="9"/>
  <c r="C30" i="9"/>
  <c r="L30" i="9"/>
  <c r="M30" i="9"/>
  <c r="P30" i="9"/>
  <c r="Q30" i="9"/>
  <c r="R30" i="9"/>
  <c r="S30" i="9"/>
  <c r="T30" i="9"/>
  <c r="U30" i="9"/>
  <c r="V30" i="9"/>
  <c r="W30" i="9"/>
  <c r="X30" i="9"/>
  <c r="Y30" i="9"/>
  <c r="Z30" i="9"/>
  <c r="AA30" i="9"/>
  <c r="AB30" i="9"/>
  <c r="AC30" i="9"/>
  <c r="AD30" i="9"/>
  <c r="B28" i="9"/>
  <c r="C28" i="9"/>
  <c r="L28" i="9"/>
  <c r="M28" i="9"/>
  <c r="P28" i="9"/>
  <c r="Q28" i="9"/>
  <c r="R28" i="9"/>
  <c r="S28" i="9"/>
  <c r="T28" i="9"/>
  <c r="U28" i="9"/>
  <c r="V28" i="9"/>
  <c r="W28" i="9"/>
  <c r="X28" i="9"/>
  <c r="Y28" i="9"/>
  <c r="Z28" i="9"/>
  <c r="AA28" i="9"/>
  <c r="AB28" i="9"/>
  <c r="AC28" i="9"/>
  <c r="AD28" i="9"/>
  <c r="B18" i="9"/>
  <c r="C18" i="9"/>
  <c r="L18" i="9"/>
  <c r="M18" i="9"/>
  <c r="P18" i="9"/>
  <c r="Q18" i="9"/>
  <c r="R18" i="9"/>
  <c r="S18" i="9"/>
  <c r="T18" i="9"/>
  <c r="U18" i="9"/>
  <c r="V18" i="9"/>
  <c r="W18" i="9"/>
  <c r="X18" i="9"/>
  <c r="Y18" i="9"/>
  <c r="Z18" i="9"/>
  <c r="AA18" i="9"/>
  <c r="AB18" i="9"/>
  <c r="AC18" i="9"/>
  <c r="AD18" i="9"/>
  <c r="B17" i="9"/>
  <c r="C17" i="9"/>
  <c r="L17" i="9"/>
  <c r="M17" i="9"/>
  <c r="P17" i="9"/>
  <c r="Q17" i="9"/>
  <c r="R17" i="9"/>
  <c r="S17" i="9"/>
  <c r="T17" i="9"/>
  <c r="U17" i="9"/>
  <c r="V17" i="9"/>
  <c r="W17" i="9"/>
  <c r="X17" i="9"/>
  <c r="Y17" i="9"/>
  <c r="Z17" i="9"/>
  <c r="AA17" i="9"/>
  <c r="AB17" i="9"/>
  <c r="AC17" i="9"/>
  <c r="AD17" i="9"/>
  <c r="M7" i="9"/>
  <c r="L7" i="9"/>
  <c r="M74" i="9"/>
  <c r="L74" i="9"/>
  <c r="M33" i="9"/>
  <c r="L33" i="9"/>
  <c r="M27" i="9"/>
  <c r="L27" i="9"/>
  <c r="M19" i="9"/>
  <c r="L19" i="9"/>
  <c r="M25" i="9"/>
  <c r="L25" i="9"/>
  <c r="M24" i="9"/>
  <c r="L24" i="9"/>
  <c r="M21" i="9"/>
  <c r="L21" i="9"/>
  <c r="M32" i="9"/>
  <c r="L32" i="9"/>
  <c r="M71" i="9"/>
  <c r="L71" i="9"/>
  <c r="M23" i="9"/>
  <c r="L23" i="9"/>
  <c r="M48" i="9"/>
  <c r="L48" i="9"/>
  <c r="M11" i="9"/>
  <c r="L11" i="9"/>
  <c r="M10" i="9"/>
  <c r="L10" i="9"/>
  <c r="M16" i="9"/>
  <c r="L16" i="9"/>
  <c r="M15" i="9"/>
  <c r="L15" i="9"/>
  <c r="M14" i="9"/>
  <c r="L14" i="9"/>
  <c r="M13" i="9"/>
  <c r="L13" i="9"/>
  <c r="M12" i="9"/>
  <c r="L12" i="9"/>
  <c r="M47" i="9"/>
  <c r="L47" i="9"/>
  <c r="M34" i="9"/>
  <c r="L34" i="9"/>
  <c r="M22" i="9"/>
  <c r="L22" i="9"/>
  <c r="M9" i="9"/>
  <c r="L9" i="9"/>
  <c r="M8" i="9"/>
  <c r="L8" i="9"/>
  <c r="M6" i="9"/>
  <c r="L6" i="9"/>
  <c r="M4" i="9"/>
  <c r="L4" i="9"/>
  <c r="M31" i="9"/>
  <c r="L31" i="9"/>
  <c r="B31" i="9"/>
  <c r="B4" i="9"/>
  <c r="B6" i="9"/>
  <c r="B8" i="9"/>
  <c r="B9" i="9"/>
  <c r="B22" i="9"/>
  <c r="B34" i="9"/>
  <c r="B47" i="9"/>
  <c r="B12" i="9"/>
  <c r="B13" i="9"/>
  <c r="B14" i="9"/>
  <c r="B15" i="9"/>
  <c r="B16" i="9"/>
  <c r="B10" i="9"/>
  <c r="B11" i="9"/>
  <c r="B48" i="9"/>
  <c r="B23" i="9"/>
  <c r="B71" i="9"/>
  <c r="B32" i="9"/>
  <c r="B21" i="9"/>
  <c r="B24" i="9"/>
  <c r="B25" i="9"/>
  <c r="B19" i="9"/>
  <c r="B27" i="9"/>
  <c r="B33" i="9"/>
  <c r="B74" i="9"/>
  <c r="B7" i="9"/>
  <c r="C31" i="9"/>
  <c r="C4" i="9"/>
  <c r="C6" i="9"/>
  <c r="C8" i="9"/>
  <c r="C9" i="9"/>
  <c r="C22" i="9"/>
  <c r="C34" i="9"/>
  <c r="C47" i="9"/>
  <c r="C12" i="9"/>
  <c r="C13" i="9"/>
  <c r="C14" i="9"/>
  <c r="C15" i="9"/>
  <c r="C16" i="9"/>
  <c r="C10" i="9"/>
  <c r="C11" i="9"/>
  <c r="C48" i="9"/>
  <c r="C71" i="9"/>
  <c r="C32" i="9"/>
  <c r="C21" i="9"/>
  <c r="C24" i="9"/>
  <c r="C25" i="9"/>
  <c r="C19" i="9"/>
  <c r="C27" i="9"/>
  <c r="C33" i="9"/>
  <c r="C74" i="9"/>
  <c r="C7" i="9"/>
  <c r="AD31" i="9"/>
  <c r="AD4" i="9"/>
  <c r="AD6" i="9"/>
  <c r="AD8" i="9"/>
  <c r="AD9" i="9"/>
  <c r="AD22" i="9"/>
  <c r="AD34" i="9"/>
  <c r="AD47" i="9"/>
  <c r="AD13" i="9"/>
  <c r="AD14" i="9"/>
  <c r="AD15" i="9"/>
  <c r="AD16" i="9"/>
  <c r="AD10" i="9"/>
  <c r="AD11" i="9"/>
  <c r="AD48" i="9"/>
  <c r="AD23" i="9"/>
  <c r="AD71" i="9"/>
  <c r="AD32" i="9"/>
  <c r="AD21" i="9"/>
  <c r="AD24" i="9"/>
  <c r="AD25" i="9"/>
  <c r="AD19" i="9"/>
  <c r="AD27" i="9"/>
  <c r="AD33" i="9"/>
  <c r="AD74" i="9"/>
  <c r="AD7" i="9"/>
  <c r="AC31" i="9"/>
  <c r="AC4" i="9"/>
  <c r="AC6" i="9"/>
  <c r="AC8" i="9"/>
  <c r="AC9" i="9"/>
  <c r="AC22" i="9"/>
  <c r="AC34" i="9"/>
  <c r="AC47" i="9"/>
  <c r="AC13" i="9"/>
  <c r="AC14" i="9"/>
  <c r="AC15" i="9"/>
  <c r="AC16" i="9"/>
  <c r="AC10" i="9"/>
  <c r="AC11" i="9"/>
  <c r="AC48" i="9"/>
  <c r="AC23" i="9"/>
  <c r="AC71" i="9"/>
  <c r="AC32" i="9"/>
  <c r="AC21" i="9"/>
  <c r="AC24" i="9"/>
  <c r="AC25" i="9"/>
  <c r="AC19" i="9"/>
  <c r="AC27" i="9"/>
  <c r="AC33" i="9"/>
  <c r="AC74" i="9"/>
  <c r="AC7" i="9"/>
  <c r="AB31" i="9"/>
  <c r="AB4" i="9"/>
  <c r="AB6" i="9"/>
  <c r="AB8" i="9"/>
  <c r="AB9" i="9"/>
  <c r="AB22" i="9"/>
  <c r="AB34" i="9"/>
  <c r="AB47" i="9"/>
  <c r="AB13" i="9"/>
  <c r="AB14" i="9"/>
  <c r="AB15" i="9"/>
  <c r="AB16" i="9"/>
  <c r="AB10" i="9"/>
  <c r="AB11" i="9"/>
  <c r="AB48" i="9"/>
  <c r="AB23" i="9"/>
  <c r="AB71" i="9"/>
  <c r="AB32" i="9"/>
  <c r="AB21" i="9"/>
  <c r="AB24" i="9"/>
  <c r="AB25" i="9"/>
  <c r="AB19" i="9"/>
  <c r="AB27" i="9"/>
  <c r="AB33" i="9"/>
  <c r="AB74" i="9"/>
  <c r="AB7" i="9"/>
  <c r="AA31" i="9"/>
  <c r="AA4" i="9"/>
  <c r="AA6" i="9"/>
  <c r="AA8" i="9"/>
  <c r="AA9" i="9"/>
  <c r="AA22" i="9"/>
  <c r="AA34" i="9"/>
  <c r="AA47" i="9"/>
  <c r="AA13" i="9"/>
  <c r="AA14" i="9"/>
  <c r="AA15" i="9"/>
  <c r="AA16" i="9"/>
  <c r="AA10" i="9"/>
  <c r="AA11" i="9"/>
  <c r="AA48" i="9"/>
  <c r="AA23" i="9"/>
  <c r="AA71" i="9"/>
  <c r="AA32" i="9"/>
  <c r="AA21" i="9"/>
  <c r="AA24" i="9"/>
  <c r="AA25" i="9"/>
  <c r="AA19" i="9"/>
  <c r="AA27" i="9"/>
  <c r="AA33" i="9"/>
  <c r="AA74" i="9"/>
  <c r="AA7" i="9"/>
  <c r="Z31" i="9"/>
  <c r="Z4" i="9"/>
  <c r="Z6" i="9"/>
  <c r="Z8" i="9"/>
  <c r="Z9" i="9"/>
  <c r="Z22" i="9"/>
  <c r="Z34" i="9"/>
  <c r="Z47" i="9"/>
  <c r="Z13" i="9"/>
  <c r="Z14" i="9"/>
  <c r="Z15" i="9"/>
  <c r="Z16" i="9"/>
  <c r="Z10" i="9"/>
  <c r="Z11" i="9"/>
  <c r="Z48" i="9"/>
  <c r="Z23" i="9"/>
  <c r="Z71" i="9"/>
  <c r="Z32" i="9"/>
  <c r="Z21" i="9"/>
  <c r="Z24" i="9"/>
  <c r="Z25" i="9"/>
  <c r="Z19" i="9"/>
  <c r="Z27" i="9"/>
  <c r="Z33" i="9"/>
  <c r="Z74" i="9"/>
  <c r="Z7" i="9"/>
  <c r="Y31" i="9"/>
  <c r="Y4" i="9"/>
  <c r="Y6" i="9"/>
  <c r="Y8" i="9"/>
  <c r="Y9" i="9"/>
  <c r="Y22" i="9"/>
  <c r="Y34" i="9"/>
  <c r="Y47" i="9"/>
  <c r="Y13" i="9"/>
  <c r="Y14" i="9"/>
  <c r="Y15" i="9"/>
  <c r="Y16" i="9"/>
  <c r="Y10" i="9"/>
  <c r="Y11" i="9"/>
  <c r="Y48" i="9"/>
  <c r="Y23" i="9"/>
  <c r="Y71" i="9"/>
  <c r="Y32" i="9"/>
  <c r="Y21" i="9"/>
  <c r="Y24" i="9"/>
  <c r="Y25" i="9"/>
  <c r="Y19" i="9"/>
  <c r="Y27" i="9"/>
  <c r="Y33" i="9"/>
  <c r="Y74" i="9"/>
  <c r="Y7" i="9"/>
  <c r="X31" i="9"/>
  <c r="X4" i="9"/>
  <c r="X6" i="9"/>
  <c r="X8" i="9"/>
  <c r="X9" i="9"/>
  <c r="X22" i="9"/>
  <c r="X34" i="9"/>
  <c r="X47" i="9"/>
  <c r="X13" i="9"/>
  <c r="X14" i="9"/>
  <c r="X15" i="9"/>
  <c r="X16" i="9"/>
  <c r="X10" i="9"/>
  <c r="X11" i="9"/>
  <c r="X48" i="9"/>
  <c r="X23" i="9"/>
  <c r="X71" i="9"/>
  <c r="X32" i="9"/>
  <c r="X21" i="9"/>
  <c r="X24" i="9"/>
  <c r="X25" i="9"/>
  <c r="X19" i="9"/>
  <c r="X27" i="9"/>
  <c r="X33" i="9"/>
  <c r="X74" i="9"/>
  <c r="X7" i="9"/>
  <c r="W31" i="9"/>
  <c r="W4" i="9"/>
  <c r="W6" i="9"/>
  <c r="W8" i="9"/>
  <c r="W9" i="9"/>
  <c r="W22" i="9"/>
  <c r="W34" i="9"/>
  <c r="W47" i="9"/>
  <c r="W13" i="9"/>
  <c r="W14" i="9"/>
  <c r="W15" i="9"/>
  <c r="W16" i="9"/>
  <c r="W10" i="9"/>
  <c r="W11" i="9"/>
  <c r="W48" i="9"/>
  <c r="W23" i="9"/>
  <c r="W71" i="9"/>
  <c r="W32" i="9"/>
  <c r="W21" i="9"/>
  <c r="W24" i="9"/>
  <c r="W25" i="9"/>
  <c r="W19" i="9"/>
  <c r="W27" i="9"/>
  <c r="W33" i="9"/>
  <c r="W74" i="9"/>
  <c r="W7" i="9"/>
  <c r="V31" i="9"/>
  <c r="V4" i="9"/>
  <c r="V6" i="9"/>
  <c r="V8" i="9"/>
  <c r="V9" i="9"/>
  <c r="V22" i="9"/>
  <c r="V34" i="9"/>
  <c r="V47" i="9"/>
  <c r="V13" i="9"/>
  <c r="V14" i="9"/>
  <c r="V15" i="9"/>
  <c r="V16" i="9"/>
  <c r="V10" i="9"/>
  <c r="V11" i="9"/>
  <c r="V48" i="9"/>
  <c r="V23" i="9"/>
  <c r="V71" i="9"/>
  <c r="V32" i="9"/>
  <c r="V21" i="9"/>
  <c r="V24" i="9"/>
  <c r="V25" i="9"/>
  <c r="V19" i="9"/>
  <c r="V27" i="9"/>
  <c r="V33" i="9"/>
  <c r="V74" i="9"/>
  <c r="V7" i="9"/>
  <c r="U31" i="9"/>
  <c r="U4" i="9"/>
  <c r="U6" i="9"/>
  <c r="U8" i="9"/>
  <c r="U9" i="9"/>
  <c r="U22" i="9"/>
  <c r="U34" i="9"/>
  <c r="U47" i="9"/>
  <c r="U13" i="9"/>
  <c r="U14" i="9"/>
  <c r="U15" i="9"/>
  <c r="U16" i="9"/>
  <c r="U10" i="9"/>
  <c r="U11" i="9"/>
  <c r="U48" i="9"/>
  <c r="U23" i="9"/>
  <c r="U71" i="9"/>
  <c r="U32" i="9"/>
  <c r="U21" i="9"/>
  <c r="U24" i="9"/>
  <c r="U25" i="9"/>
  <c r="U19" i="9"/>
  <c r="U27" i="9"/>
  <c r="U33" i="9"/>
  <c r="U74" i="9"/>
  <c r="U7" i="9"/>
  <c r="T31" i="9"/>
  <c r="T4" i="9"/>
  <c r="T6" i="9"/>
  <c r="T8" i="9"/>
  <c r="T9" i="9"/>
  <c r="T22" i="9"/>
  <c r="T34" i="9"/>
  <c r="T47" i="9"/>
  <c r="T13" i="9"/>
  <c r="T14" i="9"/>
  <c r="T15" i="9"/>
  <c r="T16" i="9"/>
  <c r="T10" i="9"/>
  <c r="T11" i="9"/>
  <c r="T48" i="9"/>
  <c r="T23" i="9"/>
  <c r="T71" i="9"/>
  <c r="T32" i="9"/>
  <c r="T21" i="9"/>
  <c r="T24" i="9"/>
  <c r="T25" i="9"/>
  <c r="T19" i="9"/>
  <c r="T27" i="9"/>
  <c r="T33" i="9"/>
  <c r="T74" i="9"/>
  <c r="T7" i="9"/>
  <c r="S31" i="9"/>
  <c r="S4" i="9"/>
  <c r="S6" i="9"/>
  <c r="S8" i="9"/>
  <c r="S9" i="9"/>
  <c r="S22" i="9"/>
  <c r="S34" i="9"/>
  <c r="S47" i="9"/>
  <c r="S13" i="9"/>
  <c r="S14" i="9"/>
  <c r="S15" i="9"/>
  <c r="S16" i="9"/>
  <c r="S10" i="9"/>
  <c r="S11" i="9"/>
  <c r="S48" i="9"/>
  <c r="S23" i="9"/>
  <c r="S71" i="9"/>
  <c r="S32" i="9"/>
  <c r="S21" i="9"/>
  <c r="S24" i="9"/>
  <c r="S25" i="9"/>
  <c r="S19" i="9"/>
  <c r="S27" i="9"/>
  <c r="S33" i="9"/>
  <c r="S74" i="9"/>
  <c r="S7" i="9"/>
  <c r="R31" i="9"/>
  <c r="R4" i="9"/>
  <c r="R6" i="9"/>
  <c r="R8" i="9"/>
  <c r="R9" i="9"/>
  <c r="R22" i="9"/>
  <c r="R34" i="9"/>
  <c r="R47" i="9"/>
  <c r="R13" i="9"/>
  <c r="R14" i="9"/>
  <c r="R15" i="9"/>
  <c r="R16" i="9"/>
  <c r="R10" i="9"/>
  <c r="R11" i="9"/>
  <c r="R48" i="9"/>
  <c r="R23" i="9"/>
  <c r="R71" i="9"/>
  <c r="R32" i="9"/>
  <c r="R21" i="9"/>
  <c r="R24" i="9"/>
  <c r="R25" i="9"/>
  <c r="R19" i="9"/>
  <c r="R27" i="9"/>
  <c r="R33" i="9"/>
  <c r="R74" i="9"/>
  <c r="R7" i="9"/>
  <c r="Q31" i="9"/>
  <c r="Q4" i="9"/>
  <c r="Q6" i="9"/>
  <c r="Q8" i="9"/>
  <c r="Q9" i="9"/>
  <c r="Q22" i="9"/>
  <c r="Q34" i="9"/>
  <c r="Q47" i="9"/>
  <c r="Q13" i="9"/>
  <c r="Q14" i="9"/>
  <c r="Q15" i="9"/>
  <c r="Q16" i="9"/>
  <c r="Q10" i="9"/>
  <c r="Q11" i="9"/>
  <c r="Q48" i="9"/>
  <c r="Q23" i="9"/>
  <c r="Q71" i="9"/>
  <c r="Q32" i="9"/>
  <c r="Q21" i="9"/>
  <c r="Q24" i="9"/>
  <c r="Q25" i="9"/>
  <c r="Q19" i="9"/>
  <c r="Q27" i="9"/>
  <c r="Q33" i="9"/>
  <c r="Q74" i="9"/>
  <c r="Q7" i="9"/>
  <c r="P31" i="9"/>
  <c r="P4" i="9"/>
  <c r="P6" i="9"/>
  <c r="P8" i="9"/>
  <c r="P9" i="9"/>
  <c r="P22" i="9"/>
  <c r="P34" i="9"/>
  <c r="P47" i="9"/>
  <c r="P12" i="9"/>
  <c r="P13" i="9"/>
  <c r="P14" i="9"/>
  <c r="P15" i="9"/>
  <c r="P16" i="9"/>
  <c r="P10" i="9"/>
  <c r="P11" i="9"/>
  <c r="P48" i="9"/>
  <c r="P23" i="9"/>
  <c r="P71" i="9"/>
  <c r="P32" i="9"/>
  <c r="P21" i="9"/>
  <c r="P24" i="9"/>
  <c r="P25" i="9"/>
  <c r="P19" i="9"/>
  <c r="P27" i="9"/>
  <c r="P33" i="9"/>
  <c r="P74" i="9"/>
  <c r="P7" i="9"/>
  <c r="Q12" i="9" l="1"/>
  <c r="R12" i="9" l="1"/>
  <c r="S12" i="9" l="1"/>
  <c r="T12" i="9" l="1"/>
  <c r="U12" i="9" l="1"/>
  <c r="V12" i="9" l="1"/>
  <c r="W12" i="9" l="1"/>
  <c r="X12" i="9" l="1"/>
  <c r="Y12" i="9" l="1"/>
  <c r="Z12" i="9" l="1"/>
  <c r="AA12" i="9" l="1"/>
  <c r="AB12" i="9" l="1"/>
  <c r="AC12" i="9" l="1"/>
  <c r="AD12" i="9" l="1"/>
  <c r="AE12" i="9" l="1"/>
  <c r="AF12" i="9" l="1"/>
  <c r="AG12" i="9" l="1"/>
  <c r="AH12" i="9" l="1"/>
  <c r="AI12" i="9" l="1"/>
  <c r="AK12" i="9" l="1"/>
  <c r="AJ12" i="9"/>
</calcChain>
</file>

<file path=xl/comments1.xml><?xml version="1.0" encoding="utf-8"?>
<comments xmlns="http://schemas.openxmlformats.org/spreadsheetml/2006/main">
  <authors>
    <author>tc={026F65DB-B8C7-4692-85E1-E81EE3516948}</author>
  </authors>
  <commentList>
    <comment ref="X2" authorId="0"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D50????</t>
        </r>
      </text>
    </comment>
  </commentList>
</comments>
</file>

<file path=xl/comments2.xml><?xml version="1.0" encoding="utf-8"?>
<comments xmlns="http://schemas.openxmlformats.org/spreadsheetml/2006/main">
  <authors>
    <author>tc={60061165-2AD9-452C-8803-4AF020CF8304}</author>
    <author>tc={DE776FE6-0A2C-4A35-91E0-BE5F1A843EB0}</author>
  </authors>
  <commentList>
    <comment ref="H18" authorId="0"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pre registration progress</t>
        </r>
      </text>
    </comment>
    <comment ref="C37" authorId="1"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Also CAS for Y2O3...</t>
        </r>
      </text>
    </comment>
  </commentList>
</comments>
</file>

<file path=xl/comments3.xml><?xml version="1.0" encoding="utf-8"?>
<comments xmlns="http://schemas.openxmlformats.org/spreadsheetml/2006/main">
  <authors>
    <author>tc={293E7D9F-52A6-44ED-808C-2F66D6224758}</author>
  </authors>
  <commentList>
    <comment ref="D32" authorId="0"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Registration said no classification but it is mentioned in the dossier</t>
        </r>
      </text>
    </comment>
  </commentList>
</comments>
</file>

<file path=xl/comments4.xml><?xml version="1.0" encoding="utf-8"?>
<comments xmlns="http://schemas.openxmlformats.org/spreadsheetml/2006/main">
  <authors>
    <author>tc={A9EA5A4E-0CDE-4550-9C26-FE94A87DD793}</author>
    <author>tc={DE93A940-5E4F-465B-90B0-075222311BFC}</author>
    <author>tc={C9F1F071-B77E-4AE7-A903-8CA16F34B565}</author>
    <author>tc={BBB46CF5-E5C4-473F-B78A-299715959295}</author>
    <author>tc={96AB692D-2611-45E6-A36C-D123F11AFF58}</author>
    <author>tc={FBF7F287-9356-42A7-9CFA-45EEE58F6F72}</author>
    <author>tc={4D046CB8-1C47-44C5-B2ED-EDE9F327CE2E}</author>
    <author>tc={45F48B69-0D21-4A0F-BAF7-7D070360B99D}</author>
    <author>tc={AE870EF5-5C90-44D4-82BC-DBC1D196D8FE}</author>
    <author>tc={2BBA3238-BC23-4EC2-92F5-D58843CEF37B}</author>
    <author>tc={CDB29F0E-36D1-42CF-8E89-93F83C84B221}</author>
    <author>tc={09E7E550-344A-4692-AD2F-262C9FAB0D00}</author>
    <author>tc={EBCFE956-B08C-40C1-8054-77CA5F51DF5E}</author>
    <author>tc={C0EAAA04-065A-4495-A119-F8A8A37559E8}</author>
    <author>tc={AEA0D749-4069-4CFE-90FA-ECBB54AF1734}</author>
    <author>tc={6E316927-CD01-4225-A258-1DEB61D4E414}</author>
    <author>tc={0F703AD2-3D64-4343-9E44-14DEE6F8ABAC}</author>
    <author>tc={90FAE016-0850-4AC4-8573-FEAD633F30F5}</author>
    <author>tc={4976A61E-9639-4E4F-9EE7-38E265FA127C}</author>
    <author>tc={EBF0E132-3FB9-46B0-B68F-2F29823AD32A}</author>
    <author>tc={3055126C-BF51-4068-BDA6-B3879BD95942}</author>
    <author>tc={B85D5BED-9EFD-4DD2-AB97-CAD1C993D812}</author>
    <author>tc={18455B9F-67B8-4BF6-8753-D61A4900C845}</author>
    <author>tc={E4FBBF31-AE38-448E-9FF1-71D4276A7828}</author>
    <author>tc={EF88BD8A-766D-4CAA-A0C8-B891241C6C6F}</author>
    <author>tc={23E4CF6C-C764-43C2-9E1A-416D69E4F6CE}</author>
    <author>tc={DD72BE8E-69F0-4E81-B1DB-A397C52D9883}</author>
    <author>tc={71C684BD-316B-482F-AE0B-37B97685DA32}</author>
    <author>tc={373F3BD8-3FBE-446A-AD10-4C7FD7C95483}</author>
    <author>tc={C365B0A1-5C38-41DC-B113-DC8FF13D8E8C}</author>
    <author>tc={1A6D68AC-AEC9-4DFF-A43F-6DC2DCBBFFA4}</author>
  </authors>
  <commentList>
    <comment ref="K2" authorId="0"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D50????</t>
        </r>
      </text>
    </comment>
    <comment ref="P4" authorId="1"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&lt;0.01</t>
        </r>
      </text>
    </comment>
    <comment ref="P5" authorId="2"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&lt;0.01</t>
        </r>
      </text>
    </comment>
    <comment ref="E6" authorId="3"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&gt;400</t>
        </r>
      </text>
    </comment>
    <comment ref="G6" authorId="4"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&gt;400</t>
        </r>
      </text>
    </comment>
    <comment ref="P6" authorId="5"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&lt;0.01</t>
        </r>
      </text>
    </comment>
    <comment ref="E7" authorId="6"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&gt;400</t>
        </r>
      </text>
    </comment>
    <comment ref="G7" authorId="7"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&gt;400</t>
        </r>
      </text>
    </comment>
    <comment ref="E9" authorId="8"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&gt;600</t>
        </r>
      </text>
    </comment>
    <comment ref="E10" authorId="9"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&gt;600</t>
        </r>
      </text>
    </comment>
    <comment ref="E17" authorId="10"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&gt;500</t>
        </r>
      </text>
    </comment>
    <comment ref="E18" authorId="11"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&gt;500</t>
        </r>
      </text>
    </comment>
    <comment ref="N18" authorId="12"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&lt;1.3</t>
        </r>
      </text>
    </comment>
    <comment ref="P18" authorId="13"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&lt;5 ug/L</t>
        </r>
      </text>
    </comment>
    <comment ref="E19" authorId="14"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&gt;360</t>
        </r>
      </text>
    </comment>
    <comment ref="E22" authorId="15"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&gt;400</t>
        </r>
      </text>
    </comment>
    <comment ref="P22" authorId="16"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new data suggests cnts to be completey insoluble</t>
        </r>
      </text>
    </comment>
    <comment ref="A28" authorId="17"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Phys-Chem Parameter origin from the core/shell material so QDs may exhibit differences</t>
        </r>
      </text>
    </comment>
    <comment ref="A29" authorId="18"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Phys-Chem Parameter origin from the core/shell material so QDs may exhibit differences</t>
        </r>
      </text>
    </comment>
    <comment ref="E30" authorId="19"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experimental: &gt;400, literature: &gt;2300</t>
        </r>
      </text>
    </comment>
    <comment ref="E33" authorId="20"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&gt;600</t>
        </r>
      </text>
    </comment>
    <comment ref="E34" authorId="21"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&gt;400°C</t>
        </r>
      </text>
    </comment>
    <comment ref="G34" authorId="22"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&gt;400</t>
        </r>
      </text>
    </comment>
    <comment ref="I50" authorId="23"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g/ml in Source</t>
        </r>
      </text>
    </comment>
    <comment ref="S50" authorId="24"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100 mM in DMSO, molecular weight: 253.25</t>
        </r>
      </text>
    </comment>
    <comment ref="E74" authorId="25"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&gt; 1440</t>
        </r>
      </text>
    </comment>
    <comment ref="P76" authorId="26"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&gt;0.000001</t>
        </r>
      </text>
    </comment>
    <comment ref="P79" authorId="27"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&gt;0.000001</t>
        </r>
      </text>
    </comment>
    <comment ref="E81" authorId="28"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brown paste including water and other solvents</t>
        </r>
      </text>
    </comment>
    <comment ref="X81" authorId="29"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don t heat above 160°C</t>
        </r>
      </text>
    </comment>
    <comment ref="P82" authorId="30"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&lt; 0.0001 g/ml</t>
        </r>
      </text>
    </comment>
  </commentList>
</comments>
</file>

<file path=xl/comments5.xml><?xml version="1.0" encoding="utf-8"?>
<comments xmlns="http://schemas.openxmlformats.org/spreadsheetml/2006/main">
  <authors>
    <author>tc={92CDF752-6DEC-48A4-A9B8-821BB0EF5AE4}</author>
  </authors>
  <commentList>
    <comment ref="AH37" authorId="0"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525 nm also possible for the same peak</t>
        </r>
      </text>
    </comment>
  </commentList>
</comments>
</file>

<file path=xl/comments6.xml><?xml version="1.0" encoding="utf-8"?>
<comments xmlns="http://schemas.openxmlformats.org/spreadsheetml/2006/main">
  <authors>
    <author>tc={D498C45B-0AF4-410E-BB4B-E2AFA0035E80}</author>
    <author>tc={06C02392-775D-4C66-B92A-40CE11D54262}</author>
  </authors>
  <commentList>
    <comment ref="V4" authorId="0"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Text states 3.35 mg/L to 6.83 mg/L but uses 6.83 mg/L for safety assessment</t>
        </r>
      </text>
    </comment>
    <comment ref="V22" authorId="1"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EC30</t>
        </r>
      </text>
    </comment>
  </commentList>
</comments>
</file>

<file path=xl/comments7.xml><?xml version="1.0" encoding="utf-8"?>
<comments xmlns="http://schemas.openxmlformats.org/spreadsheetml/2006/main">
  <authors>
    <author>tc={8FA9BDD7-AF97-41D0-9726-25F7FB1E871A}</author>
  </authors>
  <commentList>
    <comment ref="E7" authorId="0" shapeId="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NOEL</t>
        </r>
      </text>
    </comment>
  </commentList>
</comments>
</file>

<file path=xl/sharedStrings.xml><?xml version="1.0" encoding="utf-8"?>
<sst xmlns="http://schemas.openxmlformats.org/spreadsheetml/2006/main" count="5197" uniqueCount="780">
  <si>
    <t>4,4'-bis(benzoxzol-2-yl)stilbene</t>
  </si>
  <si>
    <t>2,5-bis(5-tert-butyl-benzoxazol-2-yl)thiophene</t>
  </si>
  <si>
    <t>7128-64-5</t>
  </si>
  <si>
    <t>1533-45-5</t>
  </si>
  <si>
    <t>Source</t>
  </si>
  <si>
    <t>rare earth oxide</t>
  </si>
  <si>
    <t>1306-38-3</t>
  </si>
  <si>
    <t>1314-36-9</t>
  </si>
  <si>
    <t>1313-97-9</t>
  </si>
  <si>
    <t>12064-62-9</t>
  </si>
  <si>
    <t>1308-87-8</t>
  </si>
  <si>
    <t>rhodamine-6G</t>
  </si>
  <si>
    <t>V-Quin</t>
  </si>
  <si>
    <t>989-38-8</t>
  </si>
  <si>
    <t>modified quinacridone</t>
  </si>
  <si>
    <t>substance class</t>
  </si>
  <si>
    <t>tonnage/yr</t>
  </si>
  <si>
    <t>xanthene dye</t>
  </si>
  <si>
    <t>Commercialy available (Y/N)</t>
  </si>
  <si>
    <t>perylene ester (PTIE)</t>
  </si>
  <si>
    <t>terrylene carboxylic bisimide (S-13TBI)</t>
  </si>
  <si>
    <t>perylene carboxylic bisimide (S-13)</t>
  </si>
  <si>
    <t>Langhals et al. 2014 / Green and sustainable chemistry</t>
  </si>
  <si>
    <t>Arenas-Vivo et al. 2017 / materials today communications</t>
  </si>
  <si>
    <t>Shop</t>
  </si>
  <si>
    <t>Y</t>
  </si>
  <si>
    <t>https://www.sigmaaldrich.com/AT/en/search/1533-45-5?focus=products&amp;page=1&amp;perPage=30&amp;sort=relevance&amp;term=1533-45-5&amp;type=product</t>
  </si>
  <si>
    <t>https://www.sigmaaldrich.com/AT/en/search/7128-64-5?focus=products&amp;page=1&amp;perPage=30&amp;sort=relevance&amp;term=7128-64-5&amp;type=product</t>
  </si>
  <si>
    <t>Fourati et al. 2013 / The journal of physical chemistry A</t>
  </si>
  <si>
    <t>Fourati et al. 2011 / The journal of physical chemistry B</t>
  </si>
  <si>
    <t>https://echa.europa.eu/de/substance-information/-/substanceinfo/100.014.769</t>
  </si>
  <si>
    <t>https://echa.europa.eu/de/substance-information/-/substanceinfo/100.027.661</t>
  </si>
  <si>
    <t>https://echa.europa.eu/de/substance-information/-/substanceinfo/100.013.774</t>
  </si>
  <si>
    <t>https://echa.europa.eu/de/substance-information/-/substanceinfo/100.013.849</t>
  </si>
  <si>
    <t>https://echa.europa.eu/de/substance-information/-/substanceinfo/100.013.832</t>
  </si>
  <si>
    <t>https://echa.europa.eu/de/substance-information/-/substanceinfo/100.031.861</t>
  </si>
  <si>
    <t>https://echa.europa.eu/de/substance-information/-/substanceinfo/100.013.786</t>
  </si>
  <si>
    <t>https://echa.europa.eu/de/substance-information/-/substanceinfo/100.012.350</t>
  </si>
  <si>
    <t>1047-16-1</t>
  </si>
  <si>
    <t>Bezati et al. 2011 / Resources Conservation &amp; Recycling</t>
  </si>
  <si>
    <t>Marker Name / Summenformel</t>
  </si>
  <si>
    <t>https://www.sigmaaldrich.com/AT/en/search/1306-38-3?focus=products&amp;page=1&amp;perPage=30&amp;sort=relevance&amp;term=1306-38-3&amp;type=product</t>
  </si>
  <si>
    <t>https://www.sigmaaldrich.com/AT/en/search/1314-36-9?focus=products&amp;page=1&amp;perPage=30&amp;sort=relevance&amp;term=1314-36-9&amp;type=product</t>
  </si>
  <si>
    <t>https://www.sigmaaldrich.com/AT/en/search/1313-97-9?focus=products&amp;page=1&amp;perPage=30&amp;sort=relevance&amp;term=1313-97-9&amp;type=product</t>
  </si>
  <si>
    <t>https://www.sigmaaldrich.com/AT/en/search/12064-62-9?focus=products&amp;page=1&amp;perPage=30&amp;sort=relevance&amp;term=12064-62-9&amp;type=product</t>
  </si>
  <si>
    <t>Perylene diimide</t>
  </si>
  <si>
    <t>https://www.sigmaaldrich.com/AT/en/search/1308-87-8?focus=products&amp;page=1&amp;perPage=30&amp;sort=relevance&amp;term=1308-87-8&amp;type=product</t>
  </si>
  <si>
    <t>https://www.sigmaaldrich.com/AT/en/search/989-38-8?focus=products&amp;page=1&amp;perPage=30&amp;sort=relevance&amp;term=989-38-8&amp;type=product</t>
  </si>
  <si>
    <t>128-69-8</t>
  </si>
  <si>
    <t>N,N’-Bis(3-(triethoxysilyl)propyl)-1,7-Dipyrrolidinylperylene-3,4:9,10-tetracarboxylic acid bisimide</t>
  </si>
  <si>
    <t>https://echa.europa.eu/de/substance-information/-/substanceinfo/100.004.461</t>
  </si>
  <si>
    <t>https://www.sigmaaldrich.com/AT/en/product/aldrich/p11255</t>
  </si>
  <si>
    <t>Method</t>
  </si>
  <si>
    <t>Perylene carboxyl</t>
  </si>
  <si>
    <t>Perylene-3,4,9,10-tetracrboxylic dianhydride (PTCDA)</t>
  </si>
  <si>
    <t>n.a.</t>
  </si>
  <si>
    <t>Quinacridone</t>
  </si>
  <si>
    <t>https://www.sigmaaldrich.com/AT/en/product/bldpharmatechltd/bl3h160b9855?context=bbe</t>
  </si>
  <si>
    <t>Physical Appearence</t>
  </si>
  <si>
    <t>Particle Size Distribution</t>
  </si>
  <si>
    <t>Surface Tension</t>
  </si>
  <si>
    <t>Flammability</t>
  </si>
  <si>
    <t>Explosiveness</t>
  </si>
  <si>
    <t>Oxidising properties</t>
  </si>
  <si>
    <t>stability in organic solvents and relevant degradation products</t>
  </si>
  <si>
    <t>storage stability and reactivity towards container</t>
  </si>
  <si>
    <t>Stability: thermal, sunlight, metals</t>
  </si>
  <si>
    <t>pH</t>
  </si>
  <si>
    <t>Dissociation constant</t>
  </si>
  <si>
    <t>Viscosity</t>
  </si>
  <si>
    <t>crystalline powder</t>
  </si>
  <si>
    <t>Partition Coefficient (log Pow)</t>
  </si>
  <si>
    <t>N</t>
  </si>
  <si>
    <t>150-53 um</t>
  </si>
  <si>
    <t>9-0.3 um</t>
  </si>
  <si>
    <t xml:space="preserve">Density </t>
  </si>
  <si>
    <t>50-0.3 um</t>
  </si>
  <si>
    <t>no hazard</t>
  </si>
  <si>
    <t>State</t>
  </si>
  <si>
    <t>Colour</t>
  </si>
  <si>
    <t>Yellow</t>
  </si>
  <si>
    <t>white</t>
  </si>
  <si>
    <t>blue</t>
  </si>
  <si>
    <t>n.s.</t>
  </si>
  <si>
    <t>n.r.</t>
  </si>
  <si>
    <t>2-8 um</t>
  </si>
  <si>
    <t>no flammability</t>
  </si>
  <si>
    <t>42-4 um</t>
  </si>
  <si>
    <t>log Pow</t>
  </si>
  <si>
    <t>non explosive</t>
  </si>
  <si>
    <t>non oxidising</t>
  </si>
  <si>
    <t>stable at RT</t>
  </si>
  <si>
    <t>0.5-8.76 um</t>
  </si>
  <si>
    <t>yellow</t>
  </si>
  <si>
    <t xml:space="preserve">0.5-9.3 um </t>
  </si>
  <si>
    <t>red</t>
  </si>
  <si>
    <t>2.3-23.8 um</t>
  </si>
  <si>
    <t>Aquatic Toxicity</t>
  </si>
  <si>
    <t>tox to plants other than algae</t>
  </si>
  <si>
    <t>toxicity to other aqu. Organisms</t>
  </si>
  <si>
    <t>Sediment toxicity</t>
  </si>
  <si>
    <t>Terrestrial toxicity</t>
  </si>
  <si>
    <t>tox to terrestrial arthropods</t>
  </si>
  <si>
    <t>tox. to terrestrial plants</t>
  </si>
  <si>
    <t>tox to soil microorg.</t>
  </si>
  <si>
    <t>tox. To birds</t>
  </si>
  <si>
    <t>tox to other above ground organisms</t>
  </si>
  <si>
    <t>Biological effects monitoring</t>
  </si>
  <si>
    <t>no effect observed</t>
  </si>
  <si>
    <t>no effects observed</t>
  </si>
  <si>
    <t>Column2</t>
  </si>
  <si>
    <t>Melting Point (MP)</t>
  </si>
  <si>
    <t>Boiling Point (BP)</t>
  </si>
  <si>
    <t>Vapour Pressure (VP)</t>
  </si>
  <si>
    <t>Solubility H2O (SH2O)</t>
  </si>
  <si>
    <t>Solubility in organic solvents (SOS)</t>
  </si>
  <si>
    <t>Flash Point (FP)</t>
  </si>
  <si>
    <t>Column3</t>
  </si>
  <si>
    <t>Column4</t>
  </si>
  <si>
    <t>Hazard Freshwater (PNEC ug/L)</t>
  </si>
  <si>
    <t>Hazard Marine water (PNEC ug /L)</t>
  </si>
  <si>
    <t>Hazard STP (PNEC ug/L)</t>
  </si>
  <si>
    <t>Hazard Sediment (freshwater) (PNEC mg/kg dw)</t>
  </si>
  <si>
    <t>hazard Sediment (marine water) (PNEC mg/kg dw)</t>
  </si>
  <si>
    <t>Hazard Air (PNEC mg/kg dw)</t>
  </si>
  <si>
    <t>Hazard terrestrial (PNEC mg/kg dw)</t>
  </si>
  <si>
    <t>Hazard Bioacc. (PNEC mg/kg dw)</t>
  </si>
  <si>
    <t>tox. To aquatic algae/cyanobac. (EC50 ug/L)</t>
  </si>
  <si>
    <t>6830 ug/L</t>
  </si>
  <si>
    <t>Short-term toxicity to fish (EC 50 ug/L)</t>
  </si>
  <si>
    <t>Short-term toxicity to fish (EC10 ug/L)</t>
  </si>
  <si>
    <t>Long-term toxicity to fish (EC50 ug/L)</t>
  </si>
  <si>
    <t>Long-term toxicity to fish (EC10 ug/L)</t>
  </si>
  <si>
    <t>short term tox.- aqu. Invertebrates (EC50 ug/L)</t>
  </si>
  <si>
    <t>short term tox.- aqu. Invertebrates (EC10 ug/L)</t>
  </si>
  <si>
    <t>long term. Tox. Aqu. Invertebrates (EC50 ug/L)</t>
  </si>
  <si>
    <t>long term. Tox. Aqu. Invertebrates (EC10 ug/L)</t>
  </si>
  <si>
    <t>tox. To aquatic algae/cyanobac. (EC10 ug/L)</t>
  </si>
  <si>
    <t>tox to microorg. (EC10 ug/L)</t>
  </si>
  <si>
    <t>tox to microorg. (EC50 ug/L)</t>
  </si>
  <si>
    <t>effects excluded</t>
  </si>
  <si>
    <t>endocrine disruper testing aqu.</t>
  </si>
  <si>
    <t>Sea Urchin /100% Lethal/ forced feeding/ 10 mg/L</t>
  </si>
  <si>
    <t>no observed effects</t>
  </si>
  <si>
    <t>trout hepatocytes/1000 mg/L / no cytotoxicity</t>
  </si>
  <si>
    <t>Workers Inhalation hazard</t>
  </si>
  <si>
    <t>Workers Dermal Hazard</t>
  </si>
  <si>
    <t>Workers Eyes DNEL</t>
  </si>
  <si>
    <t>Workers Eyes Hazard</t>
  </si>
  <si>
    <t>Gen. Pop. Inhalation Hazard</t>
  </si>
  <si>
    <t>Gen. Pop. Dermal Hazard</t>
  </si>
  <si>
    <t>Gen. Pop. oral Hazard</t>
  </si>
  <si>
    <t>Gen. Pop. eye DNEL</t>
  </si>
  <si>
    <t>Gen. Pop. eye Hazard</t>
  </si>
  <si>
    <t>low hazard</t>
  </si>
  <si>
    <t>Workers Dermal DNEL (mg/kg bw/day)</t>
  </si>
  <si>
    <t>Workers Inhalation DNEL (mg/m3)</t>
  </si>
  <si>
    <t>Gen. Pop. Inhalation DNEL (mg/m3)</t>
  </si>
  <si>
    <t>Gen. Pop. Dermal DNEL (mg/kg bw/day)</t>
  </si>
  <si>
    <t>Gen. Pop. oral DNEL (mg/kg bw/day)</t>
  </si>
  <si>
    <t>H200</t>
  </si>
  <si>
    <t>H201</t>
  </si>
  <si>
    <t>H202</t>
  </si>
  <si>
    <t>H203</t>
  </si>
  <si>
    <t>H204</t>
  </si>
  <si>
    <t>H205</t>
  </si>
  <si>
    <t>H220</t>
  </si>
  <si>
    <t>H221</t>
  </si>
  <si>
    <t>H222</t>
  </si>
  <si>
    <t>H223</t>
  </si>
  <si>
    <t>H224</t>
  </si>
  <si>
    <t>H225</t>
  </si>
  <si>
    <t>H226</t>
  </si>
  <si>
    <t>H228</t>
  </si>
  <si>
    <t>H240</t>
  </si>
  <si>
    <t>H241</t>
  </si>
  <si>
    <t>H242</t>
  </si>
  <si>
    <t>H250</t>
  </si>
  <si>
    <t>H251</t>
  </si>
  <si>
    <t>H252</t>
  </si>
  <si>
    <t>H260</t>
  </si>
  <si>
    <t>H261</t>
  </si>
  <si>
    <t>H270</t>
  </si>
  <si>
    <t>H271</t>
  </si>
  <si>
    <t>H272</t>
  </si>
  <si>
    <t>H280</t>
  </si>
  <si>
    <t>H281</t>
  </si>
  <si>
    <t>H290</t>
  </si>
  <si>
    <t>H300</t>
  </si>
  <si>
    <t>H301</t>
  </si>
  <si>
    <t>H302</t>
  </si>
  <si>
    <t>H304</t>
  </si>
  <si>
    <t>H310</t>
  </si>
  <si>
    <t>H311</t>
  </si>
  <si>
    <t>H312</t>
  </si>
  <si>
    <t>H314</t>
  </si>
  <si>
    <t>H315</t>
  </si>
  <si>
    <t>H317</t>
  </si>
  <si>
    <t>H318</t>
  </si>
  <si>
    <t>H319</t>
  </si>
  <si>
    <t>H330</t>
  </si>
  <si>
    <t>H331</t>
  </si>
  <si>
    <t>H332</t>
  </si>
  <si>
    <t>H334</t>
  </si>
  <si>
    <t>H335</t>
  </si>
  <si>
    <t>H336</t>
  </si>
  <si>
    <t>H340</t>
  </si>
  <si>
    <t>H341</t>
  </si>
  <si>
    <t>H350</t>
  </si>
  <si>
    <t>H351</t>
  </si>
  <si>
    <t>H360</t>
  </si>
  <si>
    <t>H361</t>
  </si>
  <si>
    <t>H362</t>
  </si>
  <si>
    <t>H370</t>
  </si>
  <si>
    <t>H371</t>
  </si>
  <si>
    <t>H372</t>
  </si>
  <si>
    <t>H373</t>
  </si>
  <si>
    <t>H400</t>
  </si>
  <si>
    <t>H410</t>
  </si>
  <si>
    <t>H411</t>
  </si>
  <si>
    <t>H412</t>
  </si>
  <si>
    <t>H413</t>
  </si>
  <si>
    <t>x</t>
  </si>
  <si>
    <t>https://echa.europa.eu/de/substance-information/-/substanceinfo/100.012.618</t>
  </si>
  <si>
    <t>violet</t>
  </si>
  <si>
    <t>solid: nanoform</t>
  </si>
  <si>
    <t>solid: particulate/powder</t>
  </si>
  <si>
    <t>130-1390 um</t>
  </si>
  <si>
    <t>1-100 um</t>
  </si>
  <si>
    <t>unknown hazard</t>
  </si>
  <si>
    <t xml:space="preserve">3326-32-7 </t>
  </si>
  <si>
    <t>https://www.sigmaaldrich.com/AT/en/search/3326-32-7?focus=products&amp;page=1&amp;perPage=30&amp;sort=relevance&amp;term=3326-32-7&amp;type=product</t>
  </si>
  <si>
    <t>https://echa.europa.eu/de/substance-information/-/substanceinfo/100.020.039</t>
  </si>
  <si>
    <t>REACH/CLP</t>
  </si>
  <si>
    <t>indocyanine green</t>
  </si>
  <si>
    <t>methylene blue</t>
  </si>
  <si>
    <t>3599-32-4</t>
  </si>
  <si>
    <t>Fan et al., 2017 / American Institute for chemical Engineers</t>
  </si>
  <si>
    <t>https://www.sigmaaldrich.com/AT/en/search/3599-32-4?focus=products&amp;page=1&amp;perPage=30&amp;sort=relevance&amp;term=3599-32-4&amp;type=product</t>
  </si>
  <si>
    <t>https://echa.europa.eu/de/substance-information/-/substanceinfo/100.020.683</t>
  </si>
  <si>
    <t>https://echa.europa.eu/de/substance-information/-/substanceinfo/100.000.469</t>
  </si>
  <si>
    <t>61-73-4</t>
  </si>
  <si>
    <t>https://www.sigmaaldrich.com/AT/en/search/61-73-4?focus=products&amp;page=1&amp;perPage=30&amp;sort=relevance&amp;term=61-73-4&amp;type=product</t>
  </si>
  <si>
    <t>CLP</t>
  </si>
  <si>
    <t>solid: powder/crystaline</t>
  </si>
  <si>
    <t>dark green</t>
  </si>
  <si>
    <t>dark green, black, blue</t>
  </si>
  <si>
    <t>solid: powder</t>
  </si>
  <si>
    <t>REACH</t>
  </si>
  <si>
    <t>308068-56-6</t>
  </si>
  <si>
    <t>single walled carbon nano tubes</t>
  </si>
  <si>
    <t>https://echa.europa.eu/de/substance-information/-/substanceinfo/100.242.364</t>
  </si>
  <si>
    <t>https://www.sigmaaldrich.com/AT/en/substance/carbonnanotubesinglewalled12345308068566</t>
  </si>
  <si>
    <t>black</t>
  </si>
  <si>
    <t>1-2.2 nm</t>
  </si>
  <si>
    <t>200 ug/L</t>
  </si>
  <si>
    <t>Hazard Class</t>
  </si>
  <si>
    <t>Registration REACH/CLP</t>
  </si>
  <si>
    <t>Excitation</t>
  </si>
  <si>
    <t>Emission</t>
  </si>
  <si>
    <t>IR-775 chloride</t>
  </si>
  <si>
    <t>199444-11-6</t>
  </si>
  <si>
    <t>https://echa.europa.eu/de/substance-information/-/substanceinfo/100.243.281</t>
  </si>
  <si>
    <t>https://www.sigmaaldrich.com/AT/en/product/aldrich/544914</t>
  </si>
  <si>
    <t>IR-780 iodide</t>
  </si>
  <si>
    <t>Deng et al. 2018 / Theranostics</t>
  </si>
  <si>
    <t>https://www.sigmaaldrich.com/AT/en/product/aldrich/425311</t>
  </si>
  <si>
    <t>IR-783</t>
  </si>
  <si>
    <t>https://www.sigmaaldrich.com/AT/en/product/aldrich/543292</t>
  </si>
  <si>
    <t>IR-797 chloride</t>
  </si>
  <si>
    <t>https://www.sigmaaldrich.com/AT/en/product/aldrich/642339</t>
  </si>
  <si>
    <t>110992-55-7</t>
  </si>
  <si>
    <t>IR-806</t>
  </si>
  <si>
    <t>https://www.sigmaaldrich.com/AT/en/product/aldrich/543349</t>
  </si>
  <si>
    <t>207399-07-3</t>
  </si>
  <si>
    <t>115970-66-6</t>
  </si>
  <si>
    <t>heptamethine cyanine dyes</t>
  </si>
  <si>
    <t>carbon nano tubes</t>
  </si>
  <si>
    <t>https://www.sigmaaldrich.com/AT/en/product/aldrich/777978</t>
  </si>
  <si>
    <t>https://echa.europa.eu/de/substance-information/-/substanceinfo/100.013.773</t>
  </si>
  <si>
    <t>CdTe core type quantum dots, COOH functionalized (710, 770 nm)</t>
  </si>
  <si>
    <t>PbS core-type quantum dots, oleic acid coated / without coat (900 nm - 1600 nm)</t>
  </si>
  <si>
    <t>quantum dots</t>
  </si>
  <si>
    <t>https://echa.europa.eu/de/substance-information/-/substanceinfo/100.013.861</t>
  </si>
  <si>
    <t>1306-25-8</t>
  </si>
  <si>
    <t>1314-87-0</t>
  </si>
  <si>
    <t>145. 67 um</t>
  </si>
  <si>
    <t>solid: crystaline</t>
  </si>
  <si>
    <t>Price per kg</t>
  </si>
  <si>
    <t>solid: crystalline</t>
  </si>
  <si>
    <t>red brown</t>
  </si>
  <si>
    <t xml:space="preserve">n.a. </t>
  </si>
  <si>
    <t>solid</t>
  </si>
  <si>
    <t>nm</t>
  </si>
  <si>
    <t>nm2</t>
  </si>
  <si>
    <t>Quantum yield</t>
  </si>
  <si>
    <t>%</t>
  </si>
  <si>
    <t>Source2</t>
  </si>
  <si>
    <t>perylene dye</t>
  </si>
  <si>
    <t>1312-81-8</t>
  </si>
  <si>
    <t>12037-29-5</t>
  </si>
  <si>
    <t>12061-16-4</t>
  </si>
  <si>
    <t>1314-37-0</t>
  </si>
  <si>
    <t>https://www.sigmaaldrich.com/AT/en/search/1312-81-8?focus=products&amp;page=1&amp;perPage=30&amp;sort=relevance&amp;term=1312-81-8&amp;type=product</t>
  </si>
  <si>
    <t>https://www.sigmaaldrich.com/AT/en/search/12037-29-5?focus=products&amp;page=1&amp;perPage=30&amp;sort=relevance&amp;term=12037-29-5&amp;type=product</t>
  </si>
  <si>
    <t>https://www.sigmaaldrich.com/AT/en/search/12061-16-4?focus=products&amp;page=1&amp;perPage=30&amp;sort=relevance&amp;term=12061-16-4&amp;type=product</t>
  </si>
  <si>
    <t>https://www.sigmaaldrich.com/AT/en/search/1314-37-0?focus=products&amp;page=1&amp;perPage=30&amp;sort=relevance&amp;term=1314-37-0&amp;type=product</t>
  </si>
  <si>
    <t>https://echa.europa.eu/de/substance-information/-/substanceinfo/100.013.819</t>
  </si>
  <si>
    <t>https://echa.europa.eu/de/substance-information/-/substanceinfo/100.031.676</t>
  </si>
  <si>
    <t>https://echa.europa.eu/de/substance-information/-/substanceinfo/100.031.847</t>
  </si>
  <si>
    <t>https://echa.europa.eu/de/substance-information/-/substanceinfo/100.013.850</t>
  </si>
  <si>
    <t>5.17 um</t>
  </si>
  <si>
    <t>24 um</t>
  </si>
  <si>
    <t>brown</t>
  </si>
  <si>
    <t>2-50 um</t>
  </si>
  <si>
    <t>pink</t>
  </si>
  <si>
    <t>2-10 um</t>
  </si>
  <si>
    <t>cm-1</t>
  </si>
  <si>
    <t>cm-12</t>
  </si>
  <si>
    <t>https://echa.europa.eu/de/substance-information/-/substanceinfo/100.206.686</t>
  </si>
  <si>
    <t>https://echa.europa.eu/de/substance-information/-/substanceinfo/100.243.235</t>
  </si>
  <si>
    <t>https://echa.europa.eu/de/substance-information/-/substanceinfo/100.243.546</t>
  </si>
  <si>
    <t>modified rare earth oxide</t>
  </si>
  <si>
    <t>68585-82-0</t>
  </si>
  <si>
    <t>https://www.sigmaaldrich.com/AT/en/product/aldrich/756490</t>
  </si>
  <si>
    <t>https://echa.europa.eu/de/substance-information/-/substanceinfo/100.065.064</t>
  </si>
  <si>
    <t>10.387 um</t>
  </si>
  <si>
    <t>nm4</t>
  </si>
  <si>
    <t>cm-15</t>
  </si>
  <si>
    <t>nm28</t>
  </si>
  <si>
    <t>cm-129</t>
  </si>
  <si>
    <t>Source210</t>
  </si>
  <si>
    <t>%11</t>
  </si>
  <si>
    <t>Source312</t>
  </si>
  <si>
    <t>63774-55-0</t>
  </si>
  <si>
    <t>https://www.americanelements.com/barium-magnesium-aluminate-63774-55-0</t>
  </si>
  <si>
    <t>https://echa.europa.eu/de/substance-information/-/substanceinfo/100.058.579</t>
  </si>
  <si>
    <t>nm3</t>
  </si>
  <si>
    <t>cm-13</t>
  </si>
  <si>
    <t>Absorption</t>
  </si>
  <si>
    <t>keV5</t>
  </si>
  <si>
    <t>nm5</t>
  </si>
  <si>
    <t>cm-14</t>
  </si>
  <si>
    <t>Spectrum</t>
  </si>
  <si>
    <t>FTIR</t>
  </si>
  <si>
    <t>https://pubchem.ncbi.nlm.nih.gov/compound/5702717#section=IR-Spectra</t>
  </si>
  <si>
    <t>https://pubchem.ncbi.nlm.nih.gov/compound/292429#section=IR-Spectra</t>
  </si>
  <si>
    <t>Peaks</t>
  </si>
  <si>
    <t>Φ</t>
  </si>
  <si>
    <t>Peak 1</t>
  </si>
  <si>
    <t>cm-2</t>
  </si>
  <si>
    <t>nm6</t>
  </si>
  <si>
    <t>cm-3</t>
  </si>
  <si>
    <t>nm7</t>
  </si>
  <si>
    <t>cm-142</t>
  </si>
  <si>
    <t>cm-144</t>
  </si>
  <si>
    <t>Peak 2</t>
  </si>
  <si>
    <t>Peak 3</t>
  </si>
  <si>
    <t>nm8</t>
  </si>
  <si>
    <t>nm9</t>
  </si>
  <si>
    <t>cm-130</t>
  </si>
  <si>
    <t>cm-1293</t>
  </si>
  <si>
    <t>nm10</t>
  </si>
  <si>
    <t>nm11</t>
  </si>
  <si>
    <t>cm-122</t>
  </si>
  <si>
    <t>cm-124</t>
  </si>
  <si>
    <t>nm12</t>
  </si>
  <si>
    <t>nm13</t>
  </si>
  <si>
    <t>Peaks2</t>
  </si>
  <si>
    <t>https://spectrabase.com/spectrum/LoN8HiEhy6</t>
  </si>
  <si>
    <t>https://pubchem.ncbi.nlm.nih.gov/compound/13976#section=IR-Spectra</t>
  </si>
  <si>
    <t>https://pubchem.ncbi.nlm.nih.gov/compound/67191#section=IR-Spectra</t>
  </si>
  <si>
    <t>https://pubchem.ncbi.nlm.nih.gov/compound/18730#section=IR-Spectra</t>
  </si>
  <si>
    <t>Fluorescein-5-isothiocyanate</t>
  </si>
  <si>
    <t>https://www.sigmaaldrich.com/AT/de/product/mm/34321m</t>
  </si>
  <si>
    <t>Peaks3</t>
  </si>
  <si>
    <t>Transmission IR</t>
  </si>
  <si>
    <t>https://spectrabase.com/spectrum/8OG8SoWUW2F</t>
  </si>
  <si>
    <t>ATR-IR</t>
  </si>
  <si>
    <t>https://pubchem.ncbi.nlm.nih.gov/compound/159373#section=ATR-IR-Spectra</t>
  </si>
  <si>
    <t>https://spectrabase.com/spectrum/Agf61lle0qg</t>
  </si>
  <si>
    <t>https://spectrabase.com/spectrum/InPQHX0SgG2</t>
  </si>
  <si>
    <t>https://pubchem.ncbi.nlm.nih.gov/compound/11967809#section=FTIR-Spectra</t>
  </si>
  <si>
    <t>FTIR+ATR-IR</t>
  </si>
  <si>
    <t>https://pubchem.ncbi.nlm.nih.gov/compound/6099#section=FTIR-Spectra</t>
  </si>
  <si>
    <t>FTIR + ATR-IR</t>
  </si>
  <si>
    <t xml:space="preserve">FTIR </t>
  </si>
  <si>
    <t>Vapor Phase IR</t>
  </si>
  <si>
    <t>https://pubchem.ncbi.nlm.nih.gov/compound/5462310#section=Spectral-Information</t>
  </si>
  <si>
    <t>https://pubchem.ncbi.nlm.nih.gov/compound/53400653#section=FTIR-Spectra</t>
  </si>
  <si>
    <t>https://pubchem.ncbi.nlm.nih.gov/compound/53438012#section=FTIR-Spectra</t>
  </si>
  <si>
    <t>Transmission-IR</t>
  </si>
  <si>
    <t>https://spectrabase.com/spectrum/9zRhpbmjHFg</t>
  </si>
  <si>
    <t>https://spectrabase.com/spectrum/DH7uskvVNPD</t>
  </si>
  <si>
    <t>https://spectrabase.com/spectrum/FX83QBXPz4u</t>
  </si>
  <si>
    <t>https://spectrabase.com/spectrum/IlHxzJSBBtB</t>
  </si>
  <si>
    <t>https://spectrabase.com/spectrum/Deky5G3ibI0</t>
  </si>
  <si>
    <t>https://spectrabase.com/spectrum/Egc78C7KGJC</t>
  </si>
  <si>
    <t xml:space="preserve">MgO </t>
  </si>
  <si>
    <t>1309-48-4</t>
  </si>
  <si>
    <t>https://www.echa.europa.eu/de/web/guest/substance-information/-/substanceinfo/100.013.793</t>
  </si>
  <si>
    <t>https://www.sigmaaldrich.com/AT/de/product/aldrich/549649</t>
  </si>
  <si>
    <t>https://pubchem.ncbi.nlm.nih.gov/compound/14792#section=FTIR-Spectra</t>
  </si>
  <si>
    <t>UV-Vis</t>
  </si>
  <si>
    <t>https://www.sigmaaldrich.com/AT/de/product/aldrich/641855</t>
  </si>
  <si>
    <t>Peaks4</t>
  </si>
  <si>
    <t>modified rare earth oxid</t>
  </si>
  <si>
    <t>rare earth oxid</t>
  </si>
  <si>
    <t>https://www.sigmaaldrich.com/AT/de/product/aldrich/215066</t>
  </si>
  <si>
    <t>https://echa.europa.eu/de/substance-information/-/substanceinfo/100.031.525</t>
  </si>
  <si>
    <t>12024-21-4</t>
  </si>
  <si>
    <t>12060-58-1</t>
  </si>
  <si>
    <t>https://echa.europa.eu/de/substance-information/-/substanceinfo/100.031.845</t>
  </si>
  <si>
    <t>https://echa.europa.eu/de/substance-information/-/substanceinfo/100.065.273</t>
  </si>
  <si>
    <t>68609-38-1</t>
  </si>
  <si>
    <t>68585-83-1</t>
  </si>
  <si>
    <t>cm-16</t>
  </si>
  <si>
    <t>nm14</t>
  </si>
  <si>
    <t>Transmission IR +FTIR</t>
  </si>
  <si>
    <t>https://pubchem.ncbi.nlm.nih.gov/compound/73963#section=Physical-Description; Sakthiraj-Karthikeyan et al., 2019</t>
  </si>
  <si>
    <t>12036-44-1</t>
  </si>
  <si>
    <t>https://echa.europa.eu/de/substance-information/-/substanceinfo/100.031.670</t>
  </si>
  <si>
    <t>https://www.sigmaaldrich.com/AT/de/substance/thuliumiiioxide3858712036441</t>
  </si>
  <si>
    <t>https://spectrabase.com/spectrum/1B7I69CNxIB</t>
  </si>
  <si>
    <t>12037-01-3</t>
  </si>
  <si>
    <t>12036-41-8</t>
  </si>
  <si>
    <t>https://www.sigmaaldrich.com/AT/de/substance/terbiumiiiivoxide7477012037013</t>
  </si>
  <si>
    <t>https://www.sigmaaldrich.com/AT/de/product/aldrich/590509</t>
  </si>
  <si>
    <t>https://echa.europa.eu/de/substance-information/-/substanceinfo/100.031.675</t>
  </si>
  <si>
    <t>https://echa.europa.eu/de/substance-information/-/substanceinfo/100.031.668</t>
  </si>
  <si>
    <t>yellow-white</t>
  </si>
  <si>
    <t>578-95-0</t>
  </si>
  <si>
    <t>https://echa.europa.eu/de/substance-information/-/substanceinfo/100.008.578</t>
  </si>
  <si>
    <t>https://www.sigmaaldrich.com/AT/de/product/aldrich/150215</t>
  </si>
  <si>
    <t>9(10H)-Acridone</t>
  </si>
  <si>
    <t>yellow-green</t>
  </si>
  <si>
    <t>http://www.chemspider.com/Chemical-Structure.10188539.html</t>
  </si>
  <si>
    <t>6-(2-bromo-9-oxoacridin-10-yl)hexanoic acid</t>
  </si>
  <si>
    <t>6-(2,7-Bromo-9-oxo-9H-acridin-10-yl)-hexanoic Acid</t>
  </si>
  <si>
    <t>(9-Oxo-9H-acridin-10-yl)-acetic Acid</t>
  </si>
  <si>
    <t>38609-97-1</t>
  </si>
  <si>
    <t>https://www.sigmaaldrich.com/AT/de/product/sigma/17927</t>
  </si>
  <si>
    <t>6-(2-Sulfo-9-oxo-9H-acridin-10-yl)-hexanoic Acid</t>
  </si>
  <si>
    <t>6-(2-Bromo-7-sulfo-9-oxo-9H-acridin-10-yl)-hexanoic Acid</t>
  </si>
  <si>
    <t>2-Carboxymethyl-7-chloro-9-oxo-9,10-dihydroacridine</t>
  </si>
  <si>
    <t>9-Oxo-9,10-dihydroacridine-4-carboxylic acid</t>
  </si>
  <si>
    <t>9-Oxo-9,10-dihydroacridine-4-carboxylic Acid (6-Carboxyhexyl)amide</t>
  </si>
  <si>
    <t>6-(2-Acetamido-9-oxo-9H-acridin-10-yl)-hexanoic Acid</t>
  </si>
  <si>
    <t>6-(2,7-Bis-acetamido-9-oxo-9Hacridin-10-yl)-hexanoic Acid</t>
  </si>
  <si>
    <t>6-(2-Fluoro-9-oxo-9H-acridin-10-yl)-hexanoic Acid</t>
  </si>
  <si>
    <t>6-(2-Methoxy-9-oxo-9H-acridin-10-yl)-hexanoic Acid</t>
  </si>
  <si>
    <t>6-(2-Methyl-9-oxo-9H-acridin-10-yl)-hexanoic Acid</t>
  </si>
  <si>
    <t>O-(N-Succinimidyl)-6-(9-oxo-9H-acridin-10-yl)-hexanoate</t>
  </si>
  <si>
    <t>O-(N-Succinimidyl)-6-(2-acetamido-9-oxo-9H-acridin-10-yl)-hexanoate</t>
  </si>
  <si>
    <t>N-(Maleimido)-ethyl-6-(9-oxo-9Hacridin-10-yl)-hexanamide</t>
  </si>
  <si>
    <t>N-(aminoethyl)-maleimide hydrochloride</t>
  </si>
  <si>
    <t>24782-64-7</t>
  </si>
  <si>
    <t>https://echa.europa.eu/de/substance-information/-/substanceinfo/100.151.173</t>
  </si>
  <si>
    <t>https://www.sigmaaldrich.com/AT/de/product/astatechinc/ateh95e592bd?context=bbe</t>
  </si>
  <si>
    <t>134272-64-3</t>
  </si>
  <si>
    <t>https://echa.europa.eu/de/substance-information/-/substanceinfo/100.228.829</t>
  </si>
  <si>
    <t>https://echa.europa.eu/de/substance-information/-/substanceinfo/100.162.778</t>
  </si>
  <si>
    <t>solid:</t>
  </si>
  <si>
    <t>http://www.chemspider.com/Chemical-Structure.2798341.html?rid=6185e3f3-61cb-4f24-b20f-7734ab492548</t>
  </si>
  <si>
    <t>modified acridone</t>
  </si>
  <si>
    <t>7,14-Dioxo-5,7,12,14-tetrahydroquino[2,3-b]acridine-2,4,9,11-tetrasulfonic Acid</t>
  </si>
  <si>
    <t>6-[2,9-Dibromo-12-(5-carboxy-pentyl)-7,14-dioxo-7,14-dihydro-12H-quino[2,3-b]acridin-5-yl]-hexanoic Acid</t>
  </si>
  <si>
    <t>6-(12-Ethyl-7,14-dioxo-2,9-disulfo-7,14-dihydro-12H-quino[2,3-b]acridin-5-yl)-hexanoic Acid</t>
  </si>
  <si>
    <t>O-(N-Succinimidyl-6-(12-ethyl-7,14-dioxo-2,9-disulfo-7,14-dihydro-12H - quino[2,3-b]acridin-5-yl)-hexanoate</t>
  </si>
  <si>
    <t>https://echa.europa.eu/de/registration-dossier/-/registered-dossier/21781</t>
  </si>
  <si>
    <t>https://echa.europa.eu/de/registration-dossier/-/registered-dossier/10402</t>
  </si>
  <si>
    <t>https://echa.europa.eu/de/registration-dossier/-/registered-dossier/15783</t>
  </si>
  <si>
    <t>https://echa.europa.eu/de/registration-dossier/-/registered-dossier/14370</t>
  </si>
  <si>
    <t>https://echa.europa.eu/de/registration-dossier/-/registered-dossier/14946</t>
  </si>
  <si>
    <t>https://echa.europa.eu/de/registration-dossier/-/registered-dossier/22534</t>
  </si>
  <si>
    <t>https://echa.europa.eu/de/registration-dossier/-/registered-dossier/22648</t>
  </si>
  <si>
    <t>https://echa.europa.eu/de/registration-dossier/-/registered-dossier/25449</t>
  </si>
  <si>
    <t>https://echa.europa.eu/de/registration-dossier/-/registered-dossier/14755/1/1</t>
  </si>
  <si>
    <t>https://echa.europa.eu/de/registration-dossier/-/registered-dossier/11837</t>
  </si>
  <si>
    <t>brown-orange</t>
  </si>
  <si>
    <t>https://www.sigmaaldrich.com/AT/en/sds/sigma/f4274</t>
  </si>
  <si>
    <t>dissociation constant</t>
  </si>
  <si>
    <t>ph</t>
  </si>
  <si>
    <t>stability: t, s, m</t>
  </si>
  <si>
    <t>storage stability</t>
  </si>
  <si>
    <t>stability organic solvents</t>
  </si>
  <si>
    <t>oxidising prop.</t>
  </si>
  <si>
    <t>explosiveness</t>
  </si>
  <si>
    <t>flammability</t>
  </si>
  <si>
    <t>auto fammability (Y/N)</t>
  </si>
  <si>
    <t>Auto flammability</t>
  </si>
  <si>
    <t>particle size distribution</t>
  </si>
  <si>
    <t>.n.a</t>
  </si>
  <si>
    <t>https://pubchem.ncbi.nlm.nih.gov/compound/6099</t>
  </si>
  <si>
    <t>https://pubchem.ncbi.nlm.nih.gov/compound/11967809</t>
  </si>
  <si>
    <t>https://echa.europa.eu/de/registration-dossier/-/registered-dossier/18023</t>
  </si>
  <si>
    <t>https://www.sigmaaldrich.com/AT/en/sds/aldrich/544914</t>
  </si>
  <si>
    <t>https://www.sigmaaldrich.com/AT/en/sds/aldrich/425311</t>
  </si>
  <si>
    <t>https://www.sigmaaldrich.com/AT/en/sds/aldrich/543292</t>
  </si>
  <si>
    <t>https://www.sigmaaldrich.com/AT/en/sds/aldrich/642339</t>
  </si>
  <si>
    <t>https://echa.europa.eu/de/registration-dossier/-/registered-dossier/12227/4/3</t>
  </si>
  <si>
    <t>https://www.sigmaaldrich.com/AT/de/substance/pbscoretypequantumdots2392798765</t>
  </si>
  <si>
    <t>cease manufacture</t>
  </si>
  <si>
    <t>.s.</t>
  </si>
  <si>
    <t>https://echa.europa.eu/de/registration-dossier/-/registered-dossier/11485/4/17</t>
  </si>
  <si>
    <t>https://echa.europa.eu/de/registration-dossier/-/registered-dossier/15267</t>
  </si>
  <si>
    <t>https://echa.europa.eu/de/registration-dossier/-/registered-dossier/15875</t>
  </si>
  <si>
    <t>https://echa.europa.eu/de/registration-dossier/-/registered-dossier/10619</t>
  </si>
  <si>
    <t>https://echa.europa.eu/de/registration-dossier/-/registered-dossier/26773</t>
  </si>
  <si>
    <t>https://echa.europa.eu/de/registration-dossier/-/registered-dossier/5386</t>
  </si>
  <si>
    <t>http://www.chemspider.com/Chemical-Structure.5254017.html?rid=50cff674-e778-47cf-ba5d-24f05047752f</t>
  </si>
  <si>
    <t>https://echa.europa.eu/de/registration-dossier/-/registered-dossier/13854/4/7</t>
  </si>
  <si>
    <t>http://www.chemspider.com/Chemical-Structure.3753585.html?rid=feb09781-aedc-40ff-911b-0f58635eb465; https://www.sigmaaldrich.com/AT/en/sds/aldrich/289167</t>
  </si>
  <si>
    <t>https://www.sigmaaldrich.com/AT/en/sds/aldrich/590509</t>
  </si>
  <si>
    <t>light yellow</t>
  </si>
  <si>
    <t>Solvent</t>
  </si>
  <si>
    <t>12027-88-2</t>
  </si>
  <si>
    <t>https://www.americanelements.com/yttrium-silicate-12027-88-2</t>
  </si>
  <si>
    <t>https://echa.europa.eu/de/substance-information/-/substanceinfo/100.031.560</t>
  </si>
  <si>
    <t>https://www.sigmaaldrich.com/AT/de/product/aldrich/634638</t>
  </si>
  <si>
    <t>12005-21-9</t>
  </si>
  <si>
    <t>https://echa.europa.eu/de/substance-information/-/substanceinfo/100.031.319</t>
  </si>
  <si>
    <t>27.16 um</t>
  </si>
  <si>
    <t>https://echa.europa.eu/de/registration-dossier/-/registered-dossier/16387/4/16</t>
  </si>
  <si>
    <t>https://www.americanelements.com/erbium-doped-yttrium-aluminum-garnet-er-yag</t>
  </si>
  <si>
    <t>PTMSDPA (poly[1-phenyl-2-[p-(trimethylsilyl)phenyl]acetylene])</t>
  </si>
  <si>
    <t>disubstituted polyacetylene</t>
  </si>
  <si>
    <t>Number of Hazard Statements in REACH Registration</t>
  </si>
  <si>
    <t>Number of Hazard Statements in CLP of all producers/importers combined</t>
  </si>
  <si>
    <t>Number of Hazard Statements in SDS</t>
  </si>
  <si>
    <t>Supplier</t>
  </si>
  <si>
    <t>216-245-3</t>
  </si>
  <si>
    <t>230-426-4</t>
  </si>
  <si>
    <t>215-150-4</t>
  </si>
  <si>
    <t>215-233-5</t>
  </si>
  <si>
    <t>215-214-1</t>
  </si>
  <si>
    <t>235-060-9</t>
  </si>
  <si>
    <t>215-164-0</t>
  </si>
  <si>
    <t>213-584-9</t>
  </si>
  <si>
    <t>213-879-2</t>
  </si>
  <si>
    <t>204-905-3</t>
  </si>
  <si>
    <t>222-042-0</t>
  </si>
  <si>
    <t>222-751-5</t>
  </si>
  <si>
    <t>200-515-2</t>
  </si>
  <si>
    <t>943-098-9</t>
  </si>
  <si>
    <t>812-331-5</t>
  </si>
  <si>
    <t>681-548-3</t>
  </si>
  <si>
    <t>812-288-2</t>
  </si>
  <si>
    <t>812-518-1</t>
  </si>
  <si>
    <t>215-149-9</t>
  </si>
  <si>
    <t>215-246-6</t>
  </si>
  <si>
    <t>215-200-5</t>
  </si>
  <si>
    <t>234-857-9</t>
  </si>
  <si>
    <t>235-045-7</t>
  </si>
  <si>
    <t>215-234-0</t>
  </si>
  <si>
    <t>271-591-2</t>
  </si>
  <si>
    <t>264-456-4</t>
  </si>
  <si>
    <t>215-171-9</t>
  </si>
  <si>
    <t>235-043-6</t>
  </si>
  <si>
    <t>234-691-7</t>
  </si>
  <si>
    <t>234-851-6</t>
  </si>
  <si>
    <t>234-856-3</t>
  </si>
  <si>
    <t>234-849-5</t>
  </si>
  <si>
    <t>209-434-7</t>
  </si>
  <si>
    <t>634-833-1</t>
  </si>
  <si>
    <t>622-408-3</t>
  </si>
  <si>
    <t>802-071-0</t>
  </si>
  <si>
    <t>234-730-8</t>
  </si>
  <si>
    <t>234-465-8</t>
  </si>
  <si>
    <t>XRF</t>
  </si>
  <si>
    <t>UV-Vis, XRF</t>
  </si>
  <si>
    <t>UV-VIS, XRF</t>
  </si>
  <si>
    <t>XRF, UV-Vis</t>
  </si>
  <si>
    <t>ZnO</t>
  </si>
  <si>
    <t>https://www.sigmaaldrich.com/AT/de/product/aldrich/633844</t>
  </si>
  <si>
    <t>https://echa.europa.eu/de/substance-information/-/substanceinfo/100.031.853</t>
  </si>
  <si>
    <t>12063-19-3</t>
  </si>
  <si>
    <t>235-052-5</t>
  </si>
  <si>
    <t>Fe(II)O</t>
  </si>
  <si>
    <t>1345-25-1</t>
  </si>
  <si>
    <t>https://echa.europa.eu/de/substance-information/-/substanceinfo/100.014.292</t>
  </si>
  <si>
    <t>https://www.sigmaaldrich.com/AT/de/product/aldrich/400866</t>
  </si>
  <si>
    <t>https://www.sigmaaldrich.com/AT/de/substance/ironiiioxide159691309371</t>
  </si>
  <si>
    <t>1309-37-1</t>
  </si>
  <si>
    <t>1317-61-9</t>
  </si>
  <si>
    <t>https://www.sigmaaldrich.com/AT/de/substance/ironoxideiiiiimagneticnanoparticlessolution231531317619</t>
  </si>
  <si>
    <t>1314-13-2</t>
  </si>
  <si>
    <t>https://www.sigmaaldrich.com/AT/de/substance/zincoxide81391314132</t>
  </si>
  <si>
    <t>215-721-8</t>
  </si>
  <si>
    <t>1 um</t>
  </si>
  <si>
    <t>https://echa.europa.eu/de/registration-dossier/-/registered-dossier/13534/4/23</t>
  </si>
  <si>
    <t>https://echa.europa.eu/de/substance-information/-/substanceinfo/100.013.839</t>
  </si>
  <si>
    <t>215-222-5</t>
  </si>
  <si>
    <t>1.05 um</t>
  </si>
  <si>
    <t>https://echa.europa.eu/de/registration-dossier/-/registered-dossier/16139/4/23</t>
  </si>
  <si>
    <t>215-168-2</t>
  </si>
  <si>
    <t>https://echa.europa.eu/de/substance-information/-/substanceinfo/100.013.790</t>
  </si>
  <si>
    <t>118 nm</t>
  </si>
  <si>
    <t>https://echa.europa.eu/de/registration-dossier/-/registered-dossier/15552/4/23</t>
  </si>
  <si>
    <t>215-277-5</t>
  </si>
  <si>
    <t>https://echa.europa.eu/de/substance-information/-/substanceinfo/100.013.889</t>
  </si>
  <si>
    <t>Graphene Oxid</t>
  </si>
  <si>
    <t>Graphene Quantum Dots</t>
  </si>
  <si>
    <t>https://www.sigmaaldrich.com/AT/de/substance/graphenequantumdots123457440440</t>
  </si>
  <si>
    <t>UV-Vis, IR</t>
  </si>
  <si>
    <t>IR</t>
  </si>
  <si>
    <t>IR, UV-VIS, XRF</t>
  </si>
  <si>
    <t>IR, UV-Vis, XRF</t>
  </si>
  <si>
    <t>7440-44-0</t>
  </si>
  <si>
    <t>https://www.sigmaaldrich.com/AT/de/substance/grapheneoxide1234598765</t>
  </si>
  <si>
    <t>947-768-1/942-699-3</t>
  </si>
  <si>
    <t>https://echa.europa.eu/de/substance-information/-/substanceinfo/100.157.949</t>
  </si>
  <si>
    <t>931-328-0</t>
  </si>
  <si>
    <t>20.5 um</t>
  </si>
  <si>
    <t>https://echa.europa.eu/de/registration-dossier/-/registered-dossier/15441/4/23</t>
  </si>
  <si>
    <t>https://echa.europa.eu/de/substance-information/-/substanceinfo/100.260.251</t>
  </si>
  <si>
    <t>bown</t>
  </si>
  <si>
    <t>44-250 um</t>
  </si>
  <si>
    <t>https://echa.europa.eu/de/registration-dossier/-/registered-dossier/27774/4/16</t>
  </si>
  <si>
    <t>solid powder</t>
  </si>
  <si>
    <t>https://www.sigmaaldrich.com/AT/en/sds/aldrich/633844</t>
  </si>
  <si>
    <t>100 nm</t>
  </si>
  <si>
    <t>https://echa.europa.eu/de/registration-dossier/-/registered-dossier/15989/4/23</t>
  </si>
  <si>
    <t>n.a</t>
  </si>
  <si>
    <t>no effect expected</t>
  </si>
  <si>
    <t>NOEC (mg/kg)</t>
  </si>
  <si>
    <t>3000 mg RE/kg</t>
  </si>
  <si>
    <t>NOEC 107 mg/kg</t>
  </si>
  <si>
    <t>NOEC 281 mg/kg</t>
  </si>
  <si>
    <t>metal oxide</t>
  </si>
  <si>
    <t xml:space="preserve">N </t>
  </si>
  <si>
    <t>MP Pressure (kPA)</t>
  </si>
  <si>
    <t>BP Pressure (kPA)</t>
  </si>
  <si>
    <t>FP Pressure (kPa)</t>
  </si>
  <si>
    <t>MP (°C)</t>
  </si>
  <si>
    <t>BP (°C)</t>
  </si>
  <si>
    <t>Density (g/cm3)</t>
  </si>
  <si>
    <t>Price (per kg)</t>
  </si>
  <si>
    <t>Expert recommendation</t>
  </si>
  <si>
    <t>UV-Vis, XRF, IR</t>
  </si>
  <si>
    <t>IR , XRF ,UV-Vis</t>
  </si>
  <si>
    <t>ethanol</t>
  </si>
  <si>
    <t>ethanol, chloroform</t>
  </si>
  <si>
    <t>DMSO</t>
  </si>
  <si>
    <t>https://www.sigmaaldrich.com/AT/en/product/aldrich/809322</t>
  </si>
  <si>
    <t>VP (°C)</t>
  </si>
  <si>
    <t>SH2O (g/L)</t>
  </si>
  <si>
    <t>log POW temp (°C)</t>
  </si>
  <si>
    <t>SH2O temp. (°C)</t>
  </si>
  <si>
    <t>Density temp. (°C)</t>
  </si>
  <si>
    <t>SOS (g/L)</t>
  </si>
  <si>
    <t>SOS temp. (°C)</t>
  </si>
  <si>
    <t>FP temp (°C)</t>
  </si>
  <si>
    <t>solid: nanofrom</t>
  </si>
  <si>
    <t>Source 1</t>
  </si>
  <si>
    <t>Sources</t>
  </si>
  <si>
    <t>Source 2</t>
  </si>
  <si>
    <t>https://www.americanelements.com/printpdf/product/46438/sds</t>
  </si>
  <si>
    <t>https://www.sigmaaldrich.com/AT/en/sds/sigma/17927</t>
  </si>
  <si>
    <t>http://www.chemspider.com/Chemical-Structure.34903.html?rid=d93ed3e0-ce37-4d61-8556-f9053c65e2b0</t>
  </si>
  <si>
    <t xml:space="preserve">https://echa.europa.eu/de/registration-dossier/-/registered-dossier/27476/4/2  </t>
  </si>
  <si>
    <t>http://www.chemspider.com/Chemical-Structure.17339486.html?rid=001eff78-c9c4-4e7d-bd22-5f90492e7114</t>
  </si>
  <si>
    <t>https://www.sigmaaldrich.com/AT/en/sds/aldrich/809322</t>
  </si>
  <si>
    <t>http://www.chemspider.com/Chemical-Structure.13658385.html?rid=7b8ee9db-1853-416a-b6d3-fcbddaf6fc51</t>
  </si>
  <si>
    <t>Merck</t>
  </si>
  <si>
    <t>American Elements</t>
  </si>
  <si>
    <t>AstaTech</t>
  </si>
  <si>
    <t>757960-10-4</t>
  </si>
  <si>
    <t>812-326-8</t>
  </si>
  <si>
    <t>https://echa.europa.eu/de/substance-information/-/substanceinfo/100.243.277</t>
  </si>
  <si>
    <t>fulerene oxid</t>
  </si>
  <si>
    <t>fulerene QDs</t>
  </si>
  <si>
    <t>Quinacridone pigment</t>
  </si>
  <si>
    <t>tricarbocyanine dye</t>
  </si>
  <si>
    <t>organic chloride salt</t>
  </si>
  <si>
    <t>Acridine</t>
  </si>
  <si>
    <t>Stilbene cimpound</t>
  </si>
  <si>
    <t>https://www.americanelements.com/printpdf/product/56007/sds</t>
  </si>
  <si>
    <t>VP Pressure (Pa)</t>
  </si>
  <si>
    <t>surface tension (N/M)</t>
  </si>
  <si>
    <t>no effect observer</t>
  </si>
  <si>
    <t>no effect observerd</t>
  </si>
  <si>
    <t>no effects oberved</t>
  </si>
  <si>
    <t>high probability not harmful to aquatic plants</t>
  </si>
  <si>
    <t>Tox. To soil macroorg. Except arthropods (ug /kg)</t>
  </si>
  <si>
    <t>Detection technique</t>
  </si>
  <si>
    <r>
      <t>CeO</t>
    </r>
    <r>
      <rPr>
        <vertAlign val="subscript"/>
        <sz val="10"/>
        <color theme="1"/>
        <rFont val="Palatino Linotype"/>
        <family val="1"/>
      </rPr>
      <t>2</t>
    </r>
  </si>
  <si>
    <r>
      <t>Y</t>
    </r>
    <r>
      <rPr>
        <vertAlign val="subscript"/>
        <sz val="10"/>
        <color theme="1"/>
        <rFont val="Palatino Linotype"/>
        <family val="1"/>
      </rPr>
      <t>2</t>
    </r>
    <r>
      <rPr>
        <sz val="10"/>
        <color theme="1"/>
        <rFont val="Palatino Linotype"/>
        <family val="1"/>
      </rPr>
      <t>O</t>
    </r>
    <r>
      <rPr>
        <vertAlign val="subscript"/>
        <sz val="10"/>
        <color theme="1"/>
        <rFont val="Palatino Linotype"/>
        <family val="1"/>
      </rPr>
      <t>3</t>
    </r>
  </si>
  <si>
    <r>
      <t>Nd</t>
    </r>
    <r>
      <rPr>
        <vertAlign val="subscript"/>
        <sz val="10"/>
        <color theme="1"/>
        <rFont val="Palatino Linotype"/>
        <family val="1"/>
      </rPr>
      <t>2</t>
    </r>
    <r>
      <rPr>
        <sz val="10"/>
        <color theme="1"/>
        <rFont val="Palatino Linotype"/>
        <family val="1"/>
      </rPr>
      <t>O</t>
    </r>
    <r>
      <rPr>
        <vertAlign val="subscript"/>
        <sz val="10"/>
        <color theme="1"/>
        <rFont val="Palatino Linotype"/>
        <family val="1"/>
      </rPr>
      <t>3</t>
    </r>
  </si>
  <si>
    <r>
      <t>Gd</t>
    </r>
    <r>
      <rPr>
        <vertAlign val="subscript"/>
        <sz val="10"/>
        <color theme="1"/>
        <rFont val="Palatino Linotype"/>
        <family val="1"/>
      </rPr>
      <t>2</t>
    </r>
    <r>
      <rPr>
        <sz val="10"/>
        <color theme="1"/>
        <rFont val="Palatino Linotype"/>
        <family val="1"/>
      </rPr>
      <t>O</t>
    </r>
    <r>
      <rPr>
        <vertAlign val="subscript"/>
        <sz val="10"/>
        <color theme="1"/>
        <rFont val="Palatino Linotype"/>
        <family val="1"/>
      </rPr>
      <t>3</t>
    </r>
  </si>
  <si>
    <r>
      <t>Dy</t>
    </r>
    <r>
      <rPr>
        <vertAlign val="subscript"/>
        <sz val="10"/>
        <color theme="1"/>
        <rFont val="Palatino Linotype"/>
        <family val="1"/>
      </rPr>
      <t>2</t>
    </r>
    <r>
      <rPr>
        <sz val="10"/>
        <color theme="1"/>
        <rFont val="Palatino Linotype"/>
        <family val="1"/>
      </rPr>
      <t>O</t>
    </r>
    <r>
      <rPr>
        <vertAlign val="subscript"/>
        <sz val="10"/>
        <color theme="1"/>
        <rFont val="Palatino Linotype"/>
        <family val="1"/>
      </rPr>
      <t>3</t>
    </r>
  </si>
  <si>
    <r>
      <t>La</t>
    </r>
    <r>
      <rPr>
        <vertAlign val="subscript"/>
        <sz val="10"/>
        <color theme="1"/>
        <rFont val="Palatino Linotype"/>
        <family val="1"/>
      </rPr>
      <t>2</t>
    </r>
    <r>
      <rPr>
        <sz val="10"/>
        <color theme="1"/>
        <rFont val="Palatino Linotype"/>
        <family val="1"/>
      </rPr>
      <t>O</t>
    </r>
    <r>
      <rPr>
        <vertAlign val="subscript"/>
        <sz val="10"/>
        <color theme="1"/>
        <rFont val="Palatino Linotype"/>
        <family val="1"/>
      </rPr>
      <t>3</t>
    </r>
  </si>
  <si>
    <r>
      <t>Pr</t>
    </r>
    <r>
      <rPr>
        <vertAlign val="subscript"/>
        <sz val="10"/>
        <color theme="1"/>
        <rFont val="Palatino Linotype"/>
        <family val="1"/>
      </rPr>
      <t>2</t>
    </r>
    <r>
      <rPr>
        <sz val="10"/>
        <color theme="1"/>
        <rFont val="Palatino Linotype"/>
        <family val="1"/>
      </rPr>
      <t>O</t>
    </r>
    <r>
      <rPr>
        <vertAlign val="subscript"/>
        <sz val="10"/>
        <color theme="1"/>
        <rFont val="Palatino Linotype"/>
        <family val="1"/>
      </rPr>
      <t>3</t>
    </r>
  </si>
  <si>
    <r>
      <t>Er</t>
    </r>
    <r>
      <rPr>
        <vertAlign val="subscript"/>
        <sz val="10"/>
        <color theme="1"/>
        <rFont val="Palatino Linotype"/>
        <family val="1"/>
      </rPr>
      <t>2</t>
    </r>
    <r>
      <rPr>
        <sz val="10"/>
        <color theme="1"/>
        <rFont val="Palatino Linotype"/>
        <family val="1"/>
      </rPr>
      <t>O</t>
    </r>
    <r>
      <rPr>
        <vertAlign val="subscript"/>
        <sz val="10"/>
        <color theme="1"/>
        <rFont val="Palatino Linotype"/>
        <family val="1"/>
      </rPr>
      <t>3</t>
    </r>
  </si>
  <si>
    <r>
      <t>Yb</t>
    </r>
    <r>
      <rPr>
        <vertAlign val="subscript"/>
        <sz val="10"/>
        <color theme="1"/>
        <rFont val="Palatino Linotype"/>
        <family val="1"/>
      </rPr>
      <t>2</t>
    </r>
    <r>
      <rPr>
        <sz val="10"/>
        <color theme="1"/>
        <rFont val="Palatino Linotype"/>
        <family val="1"/>
      </rPr>
      <t>O</t>
    </r>
    <r>
      <rPr>
        <vertAlign val="subscript"/>
        <sz val="10"/>
        <color theme="1"/>
        <rFont val="Palatino Linotype"/>
        <family val="1"/>
      </rPr>
      <t>3</t>
    </r>
  </si>
  <si>
    <r>
      <t>Y</t>
    </r>
    <r>
      <rPr>
        <vertAlign val="subscript"/>
        <sz val="10"/>
        <color theme="1"/>
        <rFont val="Palatino Linotype"/>
        <family val="1"/>
      </rPr>
      <t>2</t>
    </r>
    <r>
      <rPr>
        <sz val="10"/>
        <color theme="1"/>
        <rFont val="Palatino Linotype"/>
        <family val="1"/>
      </rPr>
      <t>O</t>
    </r>
    <r>
      <rPr>
        <vertAlign val="subscript"/>
        <sz val="10"/>
        <color theme="1"/>
        <rFont val="Palatino Linotype"/>
        <family val="1"/>
      </rPr>
      <t>3</t>
    </r>
    <r>
      <rPr>
        <sz val="10"/>
        <color theme="1"/>
        <rFont val="Palatino Linotype"/>
        <family val="1"/>
      </rPr>
      <t>:Eu</t>
    </r>
  </si>
  <si>
    <r>
      <t>Al</t>
    </r>
    <r>
      <rPr>
        <vertAlign val="subscript"/>
        <sz val="10"/>
        <color theme="1"/>
        <rFont val="Palatino Linotype"/>
        <family val="1"/>
      </rPr>
      <t>2</t>
    </r>
    <r>
      <rPr>
        <sz val="10"/>
        <color theme="1"/>
        <rFont val="Palatino Linotype"/>
        <family val="1"/>
      </rPr>
      <t>Ba</t>
    </r>
    <r>
      <rPr>
        <vertAlign val="subscript"/>
        <sz val="10"/>
        <color theme="1"/>
        <rFont val="Palatino Linotype"/>
        <family val="1"/>
      </rPr>
      <t>2</t>
    </r>
    <r>
      <rPr>
        <sz val="10"/>
        <color theme="1"/>
        <rFont val="Palatino Linotype"/>
        <family val="1"/>
      </rPr>
      <t>Mg</t>
    </r>
    <r>
      <rPr>
        <vertAlign val="subscript"/>
        <sz val="10"/>
        <color theme="1"/>
        <rFont val="Palatino Linotype"/>
        <family val="1"/>
      </rPr>
      <t>2</t>
    </r>
    <r>
      <rPr>
        <sz val="10"/>
        <color theme="1"/>
        <rFont val="Palatino Linotype"/>
        <family val="1"/>
      </rPr>
      <t>O</t>
    </r>
    <r>
      <rPr>
        <vertAlign val="subscript"/>
        <sz val="10"/>
        <color theme="1"/>
        <rFont val="Palatino Linotype"/>
        <family val="1"/>
      </rPr>
      <t>7</t>
    </r>
  </si>
  <si>
    <r>
      <t>Sm(III)</t>
    </r>
    <r>
      <rPr>
        <vertAlign val="subscript"/>
        <sz val="10"/>
        <rFont val="Palatino Linotype"/>
        <family val="1"/>
      </rPr>
      <t>2</t>
    </r>
    <r>
      <rPr>
        <sz val="10"/>
        <rFont val="Palatino Linotype"/>
        <family val="1"/>
      </rPr>
      <t>O</t>
    </r>
    <r>
      <rPr>
        <vertAlign val="subscript"/>
        <sz val="10"/>
        <rFont val="Palatino Linotype"/>
        <family val="1"/>
      </rPr>
      <t>3</t>
    </r>
  </si>
  <si>
    <r>
      <t>Y</t>
    </r>
    <r>
      <rPr>
        <vertAlign val="subscript"/>
        <sz val="10"/>
        <rFont val="Palatino Linotype"/>
        <family val="1"/>
      </rPr>
      <t>2</t>
    </r>
    <r>
      <rPr>
        <sz val="10"/>
        <rFont val="Palatino Linotype"/>
        <family val="1"/>
      </rPr>
      <t>O</t>
    </r>
    <r>
      <rPr>
        <vertAlign val="subscript"/>
        <sz val="10"/>
        <rFont val="Palatino Linotype"/>
        <family val="1"/>
      </rPr>
      <t>3</t>
    </r>
    <r>
      <rPr>
        <sz val="10"/>
        <rFont val="Palatino Linotype"/>
        <family val="1"/>
      </rPr>
      <t>:Yb</t>
    </r>
    <r>
      <rPr>
        <vertAlign val="superscript"/>
        <sz val="10"/>
        <rFont val="Palatino Linotype"/>
        <family val="1"/>
      </rPr>
      <t>3+</t>
    </r>
  </si>
  <si>
    <r>
      <t>Gd</t>
    </r>
    <r>
      <rPr>
        <vertAlign val="subscript"/>
        <sz val="10"/>
        <rFont val="Palatino Linotype"/>
        <family val="1"/>
      </rPr>
      <t>2</t>
    </r>
    <r>
      <rPr>
        <sz val="10"/>
        <rFont val="Palatino Linotype"/>
        <family val="1"/>
      </rPr>
      <t>O</t>
    </r>
    <r>
      <rPr>
        <vertAlign val="subscript"/>
        <sz val="10"/>
        <rFont val="Palatino Linotype"/>
        <family val="1"/>
      </rPr>
      <t>3</t>
    </r>
    <r>
      <rPr>
        <sz val="10"/>
        <rFont val="Palatino Linotype"/>
        <family val="1"/>
      </rPr>
      <t>:Eu</t>
    </r>
  </si>
  <si>
    <r>
      <t>Y</t>
    </r>
    <r>
      <rPr>
        <vertAlign val="subscript"/>
        <sz val="10"/>
        <rFont val="Palatino Linotype"/>
        <family val="1"/>
      </rPr>
      <t>2</t>
    </r>
    <r>
      <rPr>
        <sz val="10"/>
        <rFont val="Palatino Linotype"/>
        <family val="1"/>
      </rPr>
      <t>O</t>
    </r>
    <r>
      <rPr>
        <vertAlign val="subscript"/>
        <sz val="10"/>
        <rFont val="Palatino Linotype"/>
        <family val="1"/>
      </rPr>
      <t>3</t>
    </r>
    <r>
      <rPr>
        <sz val="10"/>
        <rFont val="Palatino Linotype"/>
        <family val="1"/>
      </rPr>
      <t>:Er</t>
    </r>
    <r>
      <rPr>
        <vertAlign val="superscript"/>
        <sz val="10"/>
        <rFont val="Palatino Linotype"/>
        <family val="1"/>
      </rPr>
      <t>3+</t>
    </r>
  </si>
  <si>
    <r>
      <t>Gd</t>
    </r>
    <r>
      <rPr>
        <vertAlign val="subscript"/>
        <sz val="10"/>
        <rFont val="Palatino Linotype"/>
        <family val="1"/>
      </rPr>
      <t>2</t>
    </r>
    <r>
      <rPr>
        <sz val="10"/>
        <rFont val="Palatino Linotype"/>
        <family val="1"/>
      </rPr>
      <t>O</t>
    </r>
    <r>
      <rPr>
        <vertAlign val="subscript"/>
        <sz val="10"/>
        <rFont val="Palatino Linotype"/>
        <family val="1"/>
      </rPr>
      <t>3</t>
    </r>
    <r>
      <rPr>
        <sz val="10"/>
        <rFont val="Palatino Linotype"/>
        <family val="1"/>
      </rPr>
      <t>:Er</t>
    </r>
    <r>
      <rPr>
        <vertAlign val="superscript"/>
        <sz val="10"/>
        <rFont val="Palatino Linotype"/>
        <family val="1"/>
      </rPr>
      <t>3+</t>
    </r>
  </si>
  <si>
    <r>
      <t>Gd</t>
    </r>
    <r>
      <rPr>
        <vertAlign val="subscript"/>
        <sz val="10"/>
        <rFont val="Palatino Linotype"/>
        <family val="1"/>
      </rPr>
      <t>2</t>
    </r>
    <r>
      <rPr>
        <sz val="10"/>
        <rFont val="Palatino Linotype"/>
        <family val="1"/>
      </rPr>
      <t>O</t>
    </r>
    <r>
      <rPr>
        <vertAlign val="subscript"/>
        <sz val="10"/>
        <rFont val="Palatino Linotype"/>
        <family val="1"/>
      </rPr>
      <t>3</t>
    </r>
    <r>
      <rPr>
        <sz val="10"/>
        <rFont val="Palatino Linotype"/>
        <family val="1"/>
      </rPr>
      <t>:Yb</t>
    </r>
    <r>
      <rPr>
        <vertAlign val="superscript"/>
        <sz val="10"/>
        <rFont val="Palatino Linotype"/>
        <family val="1"/>
      </rPr>
      <t>3+</t>
    </r>
  </si>
  <si>
    <r>
      <t>Ga(III)</t>
    </r>
    <r>
      <rPr>
        <vertAlign val="subscript"/>
        <sz val="10"/>
        <rFont val="Palatino Linotype"/>
        <family val="1"/>
      </rPr>
      <t>2</t>
    </r>
    <r>
      <rPr>
        <sz val="10"/>
        <rFont val="Palatino Linotype"/>
        <family val="1"/>
      </rPr>
      <t>O</t>
    </r>
    <r>
      <rPr>
        <vertAlign val="subscript"/>
        <sz val="10"/>
        <rFont val="Palatino Linotype"/>
        <family val="1"/>
      </rPr>
      <t>3</t>
    </r>
  </si>
  <si>
    <r>
      <t>Y</t>
    </r>
    <r>
      <rPr>
        <vertAlign val="subscript"/>
        <sz val="10"/>
        <rFont val="Palatino Linotype"/>
        <family val="1"/>
      </rPr>
      <t>2</t>
    </r>
    <r>
      <rPr>
        <sz val="10"/>
        <rFont val="Palatino Linotype"/>
        <family val="1"/>
      </rPr>
      <t>O</t>
    </r>
    <r>
      <rPr>
        <vertAlign val="subscript"/>
        <sz val="10"/>
        <rFont val="Palatino Linotype"/>
        <family val="1"/>
      </rPr>
      <t>3</t>
    </r>
    <r>
      <rPr>
        <sz val="10"/>
        <rFont val="Palatino Linotype"/>
        <family val="1"/>
      </rPr>
      <t>:Hf</t>
    </r>
    <r>
      <rPr>
        <vertAlign val="superscript"/>
        <sz val="10"/>
        <rFont val="Palatino Linotype"/>
        <family val="1"/>
      </rPr>
      <t>3+</t>
    </r>
    <r>
      <rPr>
        <sz val="10"/>
        <rFont val="Palatino Linotype"/>
        <family val="1"/>
      </rPr>
      <t>:Er</t>
    </r>
    <r>
      <rPr>
        <vertAlign val="superscript"/>
        <sz val="10"/>
        <rFont val="Palatino Linotype"/>
        <family val="1"/>
      </rPr>
      <t>3+</t>
    </r>
  </si>
  <si>
    <r>
      <t>Y</t>
    </r>
    <r>
      <rPr>
        <vertAlign val="subscript"/>
        <sz val="10"/>
        <rFont val="Palatino Linotype"/>
        <family val="1"/>
      </rPr>
      <t>2</t>
    </r>
    <r>
      <rPr>
        <sz val="10"/>
        <rFont val="Palatino Linotype"/>
        <family val="1"/>
      </rPr>
      <t>O</t>
    </r>
    <r>
      <rPr>
        <vertAlign val="subscript"/>
        <sz val="10"/>
        <rFont val="Palatino Linotype"/>
        <family val="1"/>
      </rPr>
      <t>3</t>
    </r>
    <r>
      <rPr>
        <sz val="10"/>
        <rFont val="Palatino Linotype"/>
        <family val="1"/>
      </rPr>
      <t>:Hf</t>
    </r>
    <r>
      <rPr>
        <vertAlign val="superscript"/>
        <sz val="10"/>
        <rFont val="Palatino Linotype"/>
        <family val="1"/>
      </rPr>
      <t>3+</t>
    </r>
  </si>
  <si>
    <r>
      <t>Tm</t>
    </r>
    <r>
      <rPr>
        <vertAlign val="subscript"/>
        <sz val="10"/>
        <color theme="1"/>
        <rFont val="Palatino Linotype"/>
        <family val="1"/>
      </rPr>
      <t>2</t>
    </r>
    <r>
      <rPr>
        <sz val="10"/>
        <color theme="1"/>
        <rFont val="Palatino Linotype"/>
        <family val="1"/>
      </rPr>
      <t>O</t>
    </r>
    <r>
      <rPr>
        <vertAlign val="subscript"/>
        <sz val="10"/>
        <color theme="1"/>
        <rFont val="Palatino Linotype"/>
        <family val="1"/>
      </rPr>
      <t>3</t>
    </r>
  </si>
  <si>
    <r>
      <t>Tb</t>
    </r>
    <r>
      <rPr>
        <vertAlign val="subscript"/>
        <sz val="10"/>
        <color theme="1"/>
        <rFont val="Palatino Linotype"/>
        <family val="1"/>
      </rPr>
      <t>4</t>
    </r>
    <r>
      <rPr>
        <sz val="10"/>
        <color theme="1"/>
        <rFont val="Palatino Linotype"/>
        <family val="1"/>
      </rPr>
      <t>O</t>
    </r>
    <r>
      <rPr>
        <vertAlign val="subscript"/>
        <sz val="10"/>
        <color theme="1"/>
        <rFont val="Palatino Linotype"/>
        <family val="1"/>
      </rPr>
      <t>7</t>
    </r>
  </si>
  <si>
    <r>
      <t>Tb</t>
    </r>
    <r>
      <rPr>
        <vertAlign val="subscript"/>
        <sz val="10"/>
        <color theme="1"/>
        <rFont val="Palatino Linotype"/>
        <family val="1"/>
      </rPr>
      <t>2</t>
    </r>
    <r>
      <rPr>
        <sz val="10"/>
        <color theme="1"/>
        <rFont val="Palatino Linotype"/>
        <family val="1"/>
      </rPr>
      <t>O</t>
    </r>
    <r>
      <rPr>
        <vertAlign val="subscript"/>
        <sz val="10"/>
        <color theme="1"/>
        <rFont val="Palatino Linotype"/>
        <family val="1"/>
      </rPr>
      <t>3</t>
    </r>
  </si>
  <si>
    <r>
      <t>Y</t>
    </r>
    <r>
      <rPr>
        <vertAlign val="subscript"/>
        <sz val="10"/>
        <color theme="1"/>
        <rFont val="Palatino Linotype"/>
        <family val="1"/>
      </rPr>
      <t>2</t>
    </r>
    <r>
      <rPr>
        <sz val="10"/>
        <color theme="1"/>
        <rFont val="Palatino Linotype"/>
        <family val="1"/>
      </rPr>
      <t>SiO</t>
    </r>
    <r>
      <rPr>
        <vertAlign val="subscript"/>
        <sz val="10"/>
        <color theme="1"/>
        <rFont val="Palatino Linotype"/>
        <family val="1"/>
      </rPr>
      <t>5</t>
    </r>
  </si>
  <si>
    <r>
      <t>Y</t>
    </r>
    <r>
      <rPr>
        <vertAlign val="subscript"/>
        <sz val="10"/>
        <color theme="1"/>
        <rFont val="Palatino Linotype"/>
        <family val="1"/>
      </rPr>
      <t>2</t>
    </r>
    <r>
      <rPr>
        <sz val="10"/>
        <color theme="1"/>
        <rFont val="Palatino Linotype"/>
        <family val="1"/>
      </rPr>
      <t>SiO</t>
    </r>
    <r>
      <rPr>
        <vertAlign val="subscript"/>
        <sz val="10"/>
        <color theme="1"/>
        <rFont val="Palatino Linotype"/>
        <family val="1"/>
      </rPr>
      <t>5:</t>
    </r>
    <r>
      <rPr>
        <sz val="10"/>
        <color theme="1"/>
        <rFont val="Palatino Linotype"/>
        <family val="1"/>
      </rPr>
      <t>Pr</t>
    </r>
    <r>
      <rPr>
        <vertAlign val="superscript"/>
        <sz val="10"/>
        <color theme="1"/>
        <rFont val="Palatino Linotype"/>
        <family val="1"/>
      </rPr>
      <t>3+</t>
    </r>
  </si>
  <si>
    <r>
      <t>Y</t>
    </r>
    <r>
      <rPr>
        <vertAlign val="subscript"/>
        <sz val="10"/>
        <color theme="1"/>
        <rFont val="Palatino Linotype"/>
        <family val="1"/>
      </rPr>
      <t>3</t>
    </r>
    <r>
      <rPr>
        <sz val="10"/>
        <color theme="1"/>
        <rFont val="Palatino Linotype"/>
        <family val="1"/>
      </rPr>
      <t>Al</t>
    </r>
    <r>
      <rPr>
        <vertAlign val="subscript"/>
        <sz val="10"/>
        <color theme="1"/>
        <rFont val="Palatino Linotype"/>
        <family val="1"/>
      </rPr>
      <t>5</t>
    </r>
    <r>
      <rPr>
        <sz val="10"/>
        <color theme="1"/>
        <rFont val="Palatino Linotype"/>
        <family val="1"/>
      </rPr>
      <t>O</t>
    </r>
    <r>
      <rPr>
        <vertAlign val="subscript"/>
        <sz val="10"/>
        <color theme="1"/>
        <rFont val="Palatino Linotype"/>
        <family val="1"/>
      </rPr>
      <t>12</t>
    </r>
    <r>
      <rPr>
        <sz val="10"/>
        <color theme="1"/>
        <rFont val="Palatino Linotype"/>
        <family val="1"/>
      </rPr>
      <t>:Er</t>
    </r>
    <r>
      <rPr>
        <vertAlign val="superscript"/>
        <sz val="10"/>
        <color theme="1"/>
        <rFont val="Palatino Linotype"/>
        <family val="1"/>
      </rPr>
      <t>3+</t>
    </r>
  </si>
  <si>
    <r>
      <t>Y</t>
    </r>
    <r>
      <rPr>
        <vertAlign val="subscript"/>
        <sz val="10"/>
        <color theme="1"/>
        <rFont val="Palatino Linotype"/>
        <family val="1"/>
      </rPr>
      <t>3</t>
    </r>
    <r>
      <rPr>
        <sz val="10"/>
        <color theme="1"/>
        <rFont val="Palatino Linotype"/>
        <family val="1"/>
      </rPr>
      <t>Al</t>
    </r>
    <r>
      <rPr>
        <vertAlign val="subscript"/>
        <sz val="10"/>
        <color theme="1"/>
        <rFont val="Palatino Linotype"/>
        <family val="1"/>
      </rPr>
      <t>5</t>
    </r>
    <r>
      <rPr>
        <sz val="10"/>
        <color theme="1"/>
        <rFont val="Palatino Linotype"/>
        <family val="1"/>
      </rPr>
      <t>O</t>
    </r>
    <r>
      <rPr>
        <vertAlign val="subscript"/>
        <sz val="10"/>
        <color theme="1"/>
        <rFont val="Palatino Linotype"/>
        <family val="1"/>
      </rPr>
      <t>12</t>
    </r>
  </si>
  <si>
    <r>
      <t>ZnFe</t>
    </r>
    <r>
      <rPr>
        <vertAlign val="subscript"/>
        <sz val="10"/>
        <color theme="1"/>
        <rFont val="Palatino Linotype"/>
        <family val="1"/>
      </rPr>
      <t>2</t>
    </r>
    <r>
      <rPr>
        <sz val="10"/>
        <color theme="1"/>
        <rFont val="Palatino Linotype"/>
        <family val="1"/>
      </rPr>
      <t>O</t>
    </r>
    <r>
      <rPr>
        <vertAlign val="subscript"/>
        <sz val="10"/>
        <color theme="1"/>
        <rFont val="Palatino Linotype"/>
        <family val="1"/>
      </rPr>
      <t>4</t>
    </r>
  </si>
  <si>
    <r>
      <t>Fe</t>
    </r>
    <r>
      <rPr>
        <vertAlign val="subscript"/>
        <sz val="10"/>
        <color theme="1"/>
        <rFont val="Palatino Linotype"/>
        <family val="1"/>
      </rPr>
      <t>2</t>
    </r>
    <r>
      <rPr>
        <sz val="10"/>
        <color theme="1"/>
        <rFont val="Palatino Linotype"/>
        <family val="1"/>
      </rPr>
      <t>O</t>
    </r>
    <r>
      <rPr>
        <vertAlign val="subscript"/>
        <sz val="10"/>
        <color theme="1"/>
        <rFont val="Palatino Linotype"/>
        <family val="1"/>
      </rPr>
      <t>3</t>
    </r>
  </si>
  <si>
    <r>
      <t>Fe</t>
    </r>
    <r>
      <rPr>
        <vertAlign val="subscript"/>
        <sz val="10"/>
        <color theme="1"/>
        <rFont val="Palatino Linotype"/>
        <family val="1"/>
      </rPr>
      <t>3</t>
    </r>
    <r>
      <rPr>
        <sz val="10"/>
        <color theme="1"/>
        <rFont val="Palatino Linotype"/>
        <family val="1"/>
      </rPr>
      <t>O</t>
    </r>
    <r>
      <rPr>
        <vertAlign val="subscript"/>
        <sz val="10"/>
        <color theme="1"/>
        <rFont val="Palatino Linotype"/>
        <family val="1"/>
      </rPr>
      <t>4</t>
    </r>
  </si>
  <si>
    <t xml:space="preserve">Possible markers for tracer-based sorting </t>
  </si>
  <si>
    <t>CAS</t>
  </si>
  <si>
    <t>CAS Registry Number</t>
  </si>
  <si>
    <t>Marker name</t>
  </si>
  <si>
    <t>Fourati et al., 2013</t>
  </si>
  <si>
    <t>Fourati et al., 2011</t>
  </si>
  <si>
    <t>Fourato et al., 2011</t>
  </si>
  <si>
    <t>Jayakumar et al., 2019</t>
  </si>
  <si>
    <t>Bazhukova et al., 2019; Sakthiraj-Karthikeyan  et al., 2019</t>
  </si>
  <si>
    <t>Srinivasan et al., 2009</t>
  </si>
  <si>
    <t>Arenas-Vivo et al., 2017</t>
  </si>
  <si>
    <t>Cui et al., 2015</t>
  </si>
  <si>
    <t>Devajara et al., 2014</t>
  </si>
  <si>
    <t>Prucnal  et al., 2012</t>
  </si>
  <si>
    <t>Ivanov et al. 2015</t>
  </si>
  <si>
    <t>Gaspar et al., 2010</t>
  </si>
  <si>
    <t>Venkatachalam et al., 2013</t>
  </si>
  <si>
    <t>Background information and references</t>
  </si>
  <si>
    <t>Substance class</t>
  </si>
  <si>
    <t>Detection method</t>
  </si>
  <si>
    <t>Commercialy available (Yes/No)</t>
  </si>
  <si>
    <t>Tonnage/year</t>
  </si>
  <si>
    <t>Ribeiro et al. 2013/ RSC Advances</t>
  </si>
  <si>
    <t>Faulkner et al., 2009, Chapter 18/ Wiley VCH Verlag</t>
  </si>
  <si>
    <t>Alibert-Fouet et al., 2007 / Chemistry A european Journal</t>
  </si>
  <si>
    <t>Ma et al., 2010 / The royal society of chemistry</t>
  </si>
  <si>
    <t>Maris et al. 2012 / Minerals Engineering</t>
  </si>
  <si>
    <t>Massardier et al. 2015 / Polímeros</t>
  </si>
  <si>
    <t>Khalid et al., 2019 / Nanomaterials</t>
  </si>
  <si>
    <t>Hossain et al., 2021 / Applied Materials today</t>
  </si>
  <si>
    <t>Venkatachalam et al., 2013 / The american cheramic society</t>
  </si>
  <si>
    <t>Knight et al., 2015 / ACS Nano</t>
  </si>
  <si>
    <t>Mariscal-Becerra et al., 2020 / Optical Materials</t>
  </si>
  <si>
    <t>Cui et al., 2015 / Journal of Spectroscopy</t>
  </si>
  <si>
    <t>Smith et al., 2004 / Journal of Fluorescence</t>
  </si>
  <si>
    <t>Sahu et al., 2018 / Environmental Science &amp; Technology</t>
  </si>
  <si>
    <t>Ku'ritka et al., 2020 / MDPI Polymers</t>
  </si>
  <si>
    <t>Biotransformation and kinetics</t>
  </si>
  <si>
    <t>Additional info</t>
  </si>
  <si>
    <t>Ecotoxicity - Summary</t>
  </si>
  <si>
    <t>IR spectrum</t>
  </si>
  <si>
    <t>UV-Vis spectrum</t>
  </si>
  <si>
    <t>Data on ecotoxicity</t>
  </si>
  <si>
    <t>Data on human toxicity</t>
  </si>
  <si>
    <t>Chemicals legislation</t>
  </si>
  <si>
    <t>Markets</t>
  </si>
  <si>
    <t>GHS statements</t>
  </si>
  <si>
    <t>Data on Globally Harmonized System of Classification and Labelling of Chemicals (GHS) statements</t>
  </si>
  <si>
    <t>Data on physicochemical parameters</t>
  </si>
  <si>
    <t>Proposed decision tree for selecting tracers from the compiled excel sheet. Parameters can be switched or modified according to requirements. Costs of the tracer substances were not considered in this study.</t>
  </si>
  <si>
    <t>Hazard statements (GHS)</t>
  </si>
  <si>
    <t>Physicochemical parameters (Phys Chem)</t>
  </si>
  <si>
    <t>EC number</t>
  </si>
  <si>
    <t>References (first author / journal)</t>
  </si>
  <si>
    <t>Summary of all collected data (note that MasterSheet can be used for further data evaluation)</t>
  </si>
  <si>
    <t>Additional comments</t>
  </si>
  <si>
    <t>Data on (up-conversion) fluorescence spectroscopy</t>
  </si>
  <si>
    <t>Source3</t>
  </si>
  <si>
    <t>Evaluation of Marker Materials and Spectroscopic Methods for Tracer-Based Sorting of Plastic Wastes</t>
  </si>
  <si>
    <t>Supplementary Material S2</t>
  </si>
  <si>
    <r>
      <t xml:space="preserve">Christoph Olscher </t>
    </r>
    <r>
      <rPr>
        <b/>
        <vertAlign val="superscript"/>
        <sz val="10"/>
        <color rgb="FF000000"/>
        <rFont val="Palatino Linotype"/>
        <family val="1"/>
      </rPr>
      <t>1</t>
    </r>
    <r>
      <rPr>
        <b/>
        <sz val="10"/>
        <color rgb="FF000000"/>
        <rFont val="Palatino Linotype"/>
        <family val="1"/>
      </rPr>
      <t xml:space="preserve">, Aleksander Jandric </t>
    </r>
    <r>
      <rPr>
        <b/>
        <vertAlign val="superscript"/>
        <sz val="10"/>
        <color rgb="FF000000"/>
        <rFont val="Palatino Linotype"/>
        <family val="1"/>
      </rPr>
      <t>1,*</t>
    </r>
    <r>
      <rPr>
        <b/>
        <sz val="10"/>
        <color rgb="FF000000"/>
        <rFont val="Palatino Linotype"/>
        <family val="1"/>
      </rPr>
      <t xml:space="preserve">, Christian Zafiu </t>
    </r>
    <r>
      <rPr>
        <b/>
        <vertAlign val="superscript"/>
        <sz val="10"/>
        <color rgb="FF000000"/>
        <rFont val="Palatino Linotype"/>
        <family val="1"/>
      </rPr>
      <t>1</t>
    </r>
    <r>
      <rPr>
        <b/>
        <sz val="10"/>
        <color rgb="FF000000"/>
        <rFont val="Palatino Linotype"/>
        <family val="1"/>
      </rPr>
      <t xml:space="preserve"> and Florian Part </t>
    </r>
    <r>
      <rPr>
        <b/>
        <vertAlign val="superscript"/>
        <sz val="10"/>
        <color rgb="FF000000"/>
        <rFont val="Palatino Linotype"/>
        <family val="1"/>
      </rPr>
      <t>1,2</t>
    </r>
  </si>
  <si>
    <r>
      <t>1</t>
    </r>
    <r>
      <rPr>
        <sz val="8"/>
        <color rgb="FF000000"/>
        <rFont val="Palatino Linotype"/>
        <family val="1"/>
      </rPr>
      <t xml:space="preserve"> University of Natural Resources and Life Sciences, Muthgasse 107, 1190 Vienna, Austria; </t>
    </r>
    <r>
      <rPr>
        <sz val="8"/>
        <rFont val="Palatino Linotype"/>
        <family val="1"/>
      </rPr>
      <t>christoph.olscher@boku.ac.at (C.O.); christian.zafiu@boku.ac.at (C.Z.); florian.part@boku.ac.at (F.P.)</t>
    </r>
  </si>
  <si>
    <r>
      <t>2</t>
    </r>
    <r>
      <rPr>
        <sz val="8"/>
        <color rgb="FF000000"/>
        <rFont val="Palatino Linotype"/>
        <family val="1"/>
      </rPr>
      <t xml:space="preserve"> Bundesanstalt für Materialforschung und -Prüfung (BAM), 3.1 Fachbereich Gefahrgutverpackungen, Unter den Eichen, 44-4612203 Berlin, Germany </t>
    </r>
  </si>
  <si>
    <t>* Correspondence: aleksander.jandric@boku.ac.at (A.J.)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</si>
</sst>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8"/>
      <name val="Calibri"/>
      <family val="2"/>
      <scheme val="minor"/>
    </font>
    <font>
      <u/>
      <sz val="11"/>
      <color theme="10"/>
      <name val="Calibri"/>
      <family val="2"/>
      <scheme val="minor"/>
    </font>
    <font>
      <b/>
      <sz val="11"/>
      <color theme="1"/>
      <name val="Calibri"/>
      <family val="2"/>
      <scheme val="minor"/>
    </font>
    <font>
      <sz val="11"/>
      <color theme="8"/>
      <name val="Calibri"/>
      <family val="2"/>
      <scheme val="minor"/>
    </font>
    <font>
      <b/>
      <sz val="11"/>
      <color rgb="FFFF0000"/>
      <name val="Calibri"/>
      <family val="2"/>
      <scheme val="minor"/>
    </font>
    <font>
      <sz val="11"/>
      <color theme="4" tint="-0.249977111117893"/>
      <name val="Calibri"/>
      <family val="2"/>
      <scheme val="minor"/>
    </font>
    <font>
      <sz val="11"/>
      <color theme="4" tint="-0.499984740745262"/>
      <name val="Calibri"/>
      <family val="2"/>
      <scheme val="minor"/>
    </font>
    <font>
      <sz val="11"/>
      <color theme="1"/>
      <name val="Palatino Linotype"/>
      <family val="1"/>
    </font>
    <font>
      <sz val="10"/>
      <color theme="1"/>
      <name val="Palatino Linotype"/>
      <family val="1"/>
    </font>
    <font>
      <b/>
      <sz val="10"/>
      <color rgb="FF7030A0"/>
      <name val="Palatino Linotype"/>
      <family val="1"/>
    </font>
    <font>
      <sz val="10"/>
      <color rgb="FF7030A0"/>
      <name val="Palatino Linotype"/>
      <family val="1"/>
    </font>
    <font>
      <vertAlign val="subscript"/>
      <sz val="10"/>
      <color theme="1"/>
      <name val="Palatino Linotype"/>
      <family val="1"/>
    </font>
    <font>
      <u/>
      <sz val="10"/>
      <color theme="10"/>
      <name val="Palatino Linotype"/>
      <family val="1"/>
    </font>
    <font>
      <sz val="10"/>
      <name val="Palatino Linotype"/>
      <family val="1"/>
    </font>
    <font>
      <vertAlign val="subscript"/>
      <sz val="10"/>
      <name val="Palatino Linotype"/>
      <family val="1"/>
    </font>
    <font>
      <vertAlign val="superscript"/>
      <sz val="10"/>
      <name val="Palatino Linotype"/>
      <family val="1"/>
    </font>
    <font>
      <vertAlign val="superscript"/>
      <sz val="10"/>
      <color theme="1"/>
      <name val="Palatino Linotype"/>
      <family val="1"/>
    </font>
    <font>
      <b/>
      <sz val="10"/>
      <color theme="1"/>
      <name val="Palatino Linotype"/>
      <family val="1"/>
    </font>
    <font>
      <b/>
      <sz val="10"/>
      <color theme="8" tint="-0.499984740745262"/>
      <name val="Palatino Linotype"/>
      <family val="1"/>
    </font>
    <font>
      <b/>
      <i/>
      <sz val="10"/>
      <color theme="8" tint="-0.499984740745262"/>
      <name val="Palatino Linotype"/>
      <family val="1"/>
    </font>
    <font>
      <b/>
      <i/>
      <sz val="11"/>
      <color theme="8" tint="-0.499984740745262"/>
      <name val="Calibri"/>
      <family val="2"/>
      <scheme val="minor"/>
    </font>
    <font>
      <b/>
      <sz val="10"/>
      <color rgb="FFC00000"/>
      <name val="Palatino Linotype"/>
      <family val="1"/>
    </font>
    <font>
      <sz val="10"/>
      <color rgb="FFC00000"/>
      <name val="Palatino Linotype"/>
      <family val="1"/>
    </font>
    <font>
      <u/>
      <sz val="10"/>
      <color rgb="FFC00000"/>
      <name val="Palatino Linotype"/>
      <family val="1"/>
    </font>
    <font>
      <sz val="10"/>
      <color theme="0"/>
      <name val="Palatino Linotype"/>
      <family val="1"/>
    </font>
    <font>
      <b/>
      <sz val="18"/>
      <color rgb="FF000000"/>
      <name val="Palatino Linotype"/>
      <family val="1"/>
    </font>
    <font>
      <b/>
      <sz val="10"/>
      <color rgb="FF000000"/>
      <name val="Palatino Linotype"/>
      <family val="1"/>
    </font>
    <font>
      <b/>
      <sz val="16"/>
      <color rgb="FF000000"/>
      <name val="Palatino Linotype"/>
      <family val="1"/>
    </font>
    <font>
      <b/>
      <vertAlign val="superscript"/>
      <sz val="10"/>
      <color rgb="FF000000"/>
      <name val="Palatino Linotype"/>
      <family val="1"/>
    </font>
    <font>
      <sz val="8"/>
      <color rgb="FF000000"/>
      <name val="Palatino Linotype"/>
      <family val="1"/>
    </font>
    <font>
      <vertAlign val="superscript"/>
      <sz val="8"/>
      <color rgb="FF000000"/>
      <name val="Palatino Linotype"/>
      <family val="1"/>
    </font>
    <font>
      <sz val="8"/>
      <name val="Palatino Linotype"/>
      <family val="1"/>
    </font>
    <font>
      <sz val="8"/>
      <color theme="1"/>
      <name val="Palatino Linotype"/>
      <family val="1"/>
    </font>
  </fonts>
  <fills count="3">
    <fill>
      <patternFill patternType="none"/>
    </fill>
    <fill>
      <patternFill patternType="gray125"/>
    </fill>
    <fill>
      <patternFill patternType="solid">
        <fgColor theme="3" tint="0.79998168889431442"/>
        <bgColor indexed="64"/>
      </patternFill>
    </fill>
  </fills>
  <borders count="4">
    <border>
      <left/>
      <right/>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s>
  <cellStyleXfs count="2">
    <xf numFmtId="0" fontId="0" fillId="0" borderId="0"/>
    <xf numFmtId="0" fontId="2" fillId="0" borderId="0" applyNumberFormat="0" applyFill="0" applyBorder="0" applyAlignment="0" applyProtection="0"/>
  </cellStyleXfs>
  <cellXfs count="61">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11" fontId="0" fillId="0" borderId="0" xfId="0" applyNumberFormat="1"/>
    <xf numFmtId="0" fontId="8" fillId="0" borderId="0" xfId="0" applyFont="1"/>
    <xf numFmtId="0" fontId="9" fillId="0" borderId="0" xfId="0" applyFont="1"/>
    <xf numFmtId="0" fontId="9" fillId="0" borderId="2" xfId="0" applyFont="1" applyBorder="1"/>
    <xf numFmtId="0" fontId="9" fillId="0" borderId="0" xfId="0" applyFont="1" applyBorder="1"/>
    <xf numFmtId="0" fontId="9" fillId="0" borderId="0" xfId="0" applyFont="1" applyFill="1" applyBorder="1"/>
    <xf numFmtId="0" fontId="13" fillId="0" borderId="0" xfId="1" applyFont="1" applyBorder="1"/>
    <xf numFmtId="0" fontId="9" fillId="0" borderId="0" xfId="0" applyFont="1" applyFill="1"/>
    <xf numFmtId="0" fontId="9" fillId="0" borderId="3" xfId="0" applyFont="1" applyBorder="1"/>
    <xf numFmtId="0" fontId="14" fillId="0" borderId="3" xfId="0" applyFont="1" applyBorder="1"/>
    <xf numFmtId="0" fontId="14" fillId="0" borderId="0" xfId="0" applyFont="1" applyBorder="1"/>
    <xf numFmtId="0" fontId="18" fillId="0" borderId="0" xfId="0" applyFont="1" applyBorder="1"/>
    <xf numFmtId="0" fontId="18" fillId="0" borderId="0" xfId="0" applyFont="1" applyBorder="1" applyAlignment="1">
      <alignment horizontal="left" vertical="center"/>
    </xf>
    <xf numFmtId="0" fontId="9" fillId="0" borderId="0" xfId="0" applyFont="1" applyBorder="1" applyAlignment="1"/>
    <xf numFmtId="0" fontId="14" fillId="0" borderId="0" xfId="1" applyFont="1" applyBorder="1"/>
    <xf numFmtId="0" fontId="18" fillId="0" borderId="2" xfId="0" applyFont="1" applyBorder="1"/>
    <xf numFmtId="3" fontId="9" fillId="0" borderId="0" xfId="0" applyNumberFormat="1" applyFont="1" applyBorder="1"/>
    <xf numFmtId="0" fontId="18" fillId="0" borderId="0" xfId="0" applyFont="1" applyBorder="1" applyAlignment="1">
      <alignment horizontal="left"/>
    </xf>
    <xf numFmtId="0" fontId="19" fillId="2" borderId="0" xfId="0" applyFont="1" applyFill="1" applyBorder="1" applyAlignment="1"/>
    <xf numFmtId="0" fontId="20" fillId="2" borderId="0" xfId="0" applyFont="1" applyFill="1" applyBorder="1" applyAlignment="1"/>
    <xf numFmtId="0" fontId="10" fillId="2" borderId="0" xfId="0" applyFont="1" applyFill="1" applyBorder="1" applyAlignment="1">
      <alignment horizontal="left"/>
    </xf>
    <xf numFmtId="0" fontId="9" fillId="0" borderId="0" xfId="0" applyFont="1" applyBorder="1" applyAlignment="1">
      <alignment horizontal="left"/>
    </xf>
    <xf numFmtId="0" fontId="11" fillId="0" borderId="0" xfId="0" applyFont="1" applyBorder="1" applyAlignment="1">
      <alignment horizontal="left"/>
    </xf>
    <xf numFmtId="0" fontId="9" fillId="0" borderId="0" xfId="0" applyFont="1" applyFill="1" applyBorder="1" applyAlignment="1">
      <alignment horizontal="left"/>
    </xf>
    <xf numFmtId="0" fontId="14" fillId="0" borderId="0" xfId="0" applyFont="1" applyBorder="1" applyAlignment="1">
      <alignment horizontal="left"/>
    </xf>
    <xf numFmtId="0" fontId="19" fillId="2" borderId="0" xfId="0" applyFont="1" applyFill="1" applyBorder="1" applyAlignment="1">
      <alignment vertical="center"/>
    </xf>
    <xf numFmtId="0" fontId="19" fillId="2" borderId="0" xfId="0" applyFont="1" applyFill="1" applyBorder="1" applyAlignment="1">
      <alignment vertical="center" wrapText="1"/>
    </xf>
    <xf numFmtId="0" fontId="20" fillId="2" borderId="0" xfId="0" applyFont="1" applyFill="1" applyBorder="1" applyAlignment="1">
      <alignment vertical="center"/>
    </xf>
    <xf numFmtId="0" fontId="19" fillId="2" borderId="0" xfId="0" applyFont="1" applyFill="1" applyBorder="1" applyAlignment="1">
      <alignment horizontal="left"/>
    </xf>
    <xf numFmtId="0" fontId="9" fillId="0" borderId="0" xfId="0" applyFont="1" applyAlignment="1">
      <alignment horizontal="left"/>
    </xf>
    <xf numFmtId="0" fontId="18" fillId="0" borderId="1" xfId="0" applyFont="1" applyBorder="1"/>
    <xf numFmtId="0" fontId="19" fillId="2" borderId="0" xfId="0" applyFont="1" applyFill="1" applyAlignment="1">
      <alignment horizontal="left"/>
    </xf>
    <xf numFmtId="0" fontId="9" fillId="0" borderId="0" xfId="0" applyNumberFormat="1" applyFont="1" applyBorder="1"/>
    <xf numFmtId="0" fontId="20" fillId="2" borderId="0" xfId="0" applyFont="1" applyFill="1" applyAlignment="1">
      <alignment horizontal="left"/>
    </xf>
    <xf numFmtId="0" fontId="22" fillId="2" borderId="0" xfId="0" applyFont="1" applyFill="1" applyBorder="1" applyAlignment="1">
      <alignment horizontal="left"/>
    </xf>
    <xf numFmtId="0" fontId="23" fillId="0" borderId="0" xfId="0" applyFont="1" applyBorder="1" applyAlignment="1">
      <alignment horizontal="left"/>
    </xf>
    <xf numFmtId="0" fontId="23" fillId="0" borderId="0" xfId="0" applyFont="1" applyFill="1" applyBorder="1" applyAlignment="1">
      <alignment horizontal="left"/>
    </xf>
    <xf numFmtId="0" fontId="24" fillId="0" borderId="0" xfId="1" applyFont="1" applyFill="1" applyBorder="1" applyAlignment="1">
      <alignment horizontal="left"/>
    </xf>
    <xf numFmtId="0" fontId="24" fillId="0" borderId="0" xfId="1" applyFont="1" applyBorder="1" applyAlignment="1">
      <alignment horizontal="left"/>
    </xf>
    <xf numFmtId="0" fontId="25" fillId="0" borderId="0" xfId="0" applyFont="1" applyBorder="1" applyAlignment="1">
      <alignment horizontal="left"/>
    </xf>
    <xf numFmtId="0" fontId="28" fillId="0" borderId="0" xfId="0" applyFont="1" applyAlignment="1">
      <alignment vertical="center"/>
    </xf>
    <xf numFmtId="0" fontId="27" fillId="0" borderId="0" xfId="0" applyFont="1" applyAlignment="1">
      <alignment vertical="center"/>
    </xf>
    <xf numFmtId="0" fontId="8" fillId="0" borderId="0" xfId="0" applyFont="1" applyAlignment="1">
      <alignment vertical="top"/>
    </xf>
    <xf numFmtId="0" fontId="33" fillId="0" borderId="0" xfId="0" applyFont="1" applyAlignment="1">
      <alignment vertical="top"/>
    </xf>
    <xf numFmtId="0" fontId="26" fillId="0" borderId="0" xfId="0" applyFont="1" applyAlignment="1">
      <alignment horizontal="left" vertical="center" wrapText="1"/>
    </xf>
    <xf numFmtId="0" fontId="31" fillId="0" borderId="0" xfId="0" applyFont="1" applyAlignment="1">
      <alignment horizontal="left" vertical="top" wrapText="1"/>
    </xf>
    <xf numFmtId="0" fontId="21" fillId="2" borderId="0" xfId="0" applyFont="1" applyFill="1" applyAlignment="1">
      <alignment horizontal="left"/>
    </xf>
    <xf numFmtId="0" fontId="19" fillId="2" borderId="0" xfId="0" applyFont="1" applyFill="1" applyBorder="1" applyAlignment="1">
      <alignment horizontal="left"/>
    </xf>
    <xf numFmtId="0" fontId="19" fillId="2" borderId="0" xfId="0" applyFont="1" applyFill="1" applyAlignment="1">
      <alignment horizontal="left"/>
    </xf>
    <xf numFmtId="0" fontId="20" fillId="2" borderId="0" xfId="0" applyFont="1" applyFill="1" applyBorder="1" applyAlignment="1">
      <alignment horizontal="left"/>
    </xf>
    <xf numFmtId="0" fontId="9" fillId="0" borderId="0" xfId="0" applyFont="1" applyBorder="1" applyAlignment="1">
      <alignment horizontal="center"/>
    </xf>
    <xf numFmtId="0" fontId="22" fillId="2" borderId="0" xfId="0" applyFont="1" applyFill="1" applyBorder="1" applyAlignment="1">
      <alignment horizontal="left" wrapText="1"/>
    </xf>
    <xf numFmtId="0" fontId="22" fillId="2" borderId="0" xfId="0" applyFont="1" applyFill="1" applyBorder="1" applyAlignment="1">
      <alignment horizontal="left"/>
    </xf>
    <xf numFmtId="0" fontId="10" fillId="2" borderId="0" xfId="0" applyFont="1" applyFill="1" applyBorder="1" applyAlignment="1">
      <alignment horizontal="left"/>
    </xf>
    <xf numFmtId="0" fontId="10" fillId="2" borderId="0" xfId="0" applyFont="1" applyFill="1" applyBorder="1" applyAlignment="1">
      <alignment horizontal="left" vertical="center"/>
    </xf>
  </cellXfs>
  <cellStyles count="2">
    <cellStyle name="Link" xfId="1" builtinId="8"/>
    <cellStyle name="Standard" xfId="0" builtinId="0"/>
  </cellStyles>
  <dxfs count="277">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b val="0"/>
        <i val="0"/>
        <strike val="0"/>
        <condense val="0"/>
        <extend val="0"/>
        <outline val="0"/>
        <shadow val="0"/>
        <u val="none"/>
        <vertAlign val="baseline"/>
        <sz val="10"/>
        <color theme="1"/>
        <name val="Palatino Linotype"/>
        <scheme val="none"/>
      </font>
    </dxf>
    <dxf>
      <font>
        <i val="0"/>
        <strike val="0"/>
        <outline val="0"/>
        <shadow val="0"/>
        <sz val="10"/>
        <name val="Palatino Linotype"/>
        <scheme val="none"/>
      </font>
      <alignment horizontal="left" textRotation="0" indent="0" justifyLastLine="0" shrinkToFit="0" readingOrder="0"/>
    </dxf>
    <dxf>
      <font>
        <i val="0"/>
        <strike val="0"/>
        <outline val="0"/>
        <shadow val="0"/>
        <sz val="10"/>
        <name val="Palatino Linotype"/>
        <scheme val="none"/>
      </font>
      <alignment horizontal="left" textRotation="0" indent="0" justifyLastLine="0" shrinkToFit="0" readingOrder="0"/>
    </dxf>
    <dxf>
      <font>
        <i val="0"/>
        <strike val="0"/>
        <outline val="0"/>
        <shadow val="0"/>
        <sz val="10"/>
        <name val="Palatino Linotype"/>
        <scheme val="none"/>
      </font>
      <numFmt numFmtId="0" formatCode="General"/>
      <alignment horizontal="left" textRotation="0" indent="0" justifyLastLine="0" shrinkToFit="0" readingOrder="0"/>
    </dxf>
    <dxf>
      <font>
        <i val="0"/>
        <strike val="0"/>
        <outline val="0"/>
        <shadow val="0"/>
        <sz val="10"/>
        <name val="Palatino Linotype"/>
        <scheme val="none"/>
      </font>
      <alignment horizontal="left" textRotation="0" indent="0" justifyLastLine="0" shrinkToFit="0" readingOrder="0"/>
    </dxf>
    <dxf>
      <font>
        <i val="0"/>
        <strike val="0"/>
        <outline val="0"/>
        <shadow val="0"/>
        <sz val="10"/>
        <name val="Palatino Linotype"/>
        <scheme val="none"/>
      </font>
      <numFmt numFmtId="0" formatCode="General"/>
      <alignment horizontal="left" textRotation="0" indent="0" justifyLastLine="0" shrinkToFit="0" readingOrder="0"/>
    </dxf>
    <dxf>
      <font>
        <i val="0"/>
        <strike val="0"/>
        <outline val="0"/>
        <shadow val="0"/>
        <sz val="10"/>
        <name val="Palatino Linotype"/>
        <scheme val="none"/>
      </font>
      <alignment horizontal="left" textRotation="0" indent="0" justifyLastLine="0" shrinkToFit="0" readingOrder="0"/>
    </dxf>
    <dxf>
      <font>
        <i val="0"/>
        <strike val="0"/>
        <outline val="0"/>
        <shadow val="0"/>
        <sz val="10"/>
        <name val="Palatino Linotype"/>
        <scheme val="none"/>
      </font>
      <numFmt numFmtId="0" formatCode="General"/>
      <alignment horizontal="left" textRotation="0" indent="0" justifyLastLine="0" shrinkToFit="0" readingOrder="0"/>
    </dxf>
    <dxf>
      <font>
        <i val="0"/>
        <strike val="0"/>
        <outline val="0"/>
        <shadow val="0"/>
        <sz val="10"/>
        <name val="Palatino Linotype"/>
        <scheme val="none"/>
      </font>
      <alignment horizontal="left" textRotation="0" indent="0" justifyLastLine="0" shrinkToFit="0" readingOrder="0"/>
    </dxf>
    <dxf>
      <font>
        <i val="0"/>
        <strike val="0"/>
        <outline val="0"/>
        <shadow val="0"/>
        <sz val="10"/>
        <name val="Palatino Linotype"/>
        <scheme val="none"/>
      </font>
      <numFmt numFmtId="0" formatCode="General"/>
      <alignment horizontal="left" textRotation="0" indent="0" justifyLastLine="0" shrinkToFit="0" readingOrder="0"/>
    </dxf>
    <dxf>
      <font>
        <i val="0"/>
        <strike val="0"/>
        <outline val="0"/>
        <shadow val="0"/>
        <sz val="10"/>
        <name val="Palatino Linotype"/>
        <scheme val="none"/>
      </font>
      <alignment horizontal="left" textRotation="0" indent="0" justifyLastLine="0" shrinkToFit="0" readingOrder="0"/>
    </dxf>
    <dxf>
      <font>
        <i val="0"/>
        <strike val="0"/>
        <outline val="0"/>
        <shadow val="0"/>
        <sz val="10"/>
        <name val="Palatino Linotype"/>
        <scheme val="none"/>
      </font>
      <alignment horizontal="left" textRotation="0" indent="0" justifyLastLine="0" shrinkToFit="0" readingOrder="0"/>
    </dxf>
    <dxf>
      <font>
        <b val="0"/>
        <i val="0"/>
        <strike val="0"/>
        <condense val="0"/>
        <extend val="0"/>
        <outline val="0"/>
        <shadow val="0"/>
        <u val="none"/>
        <vertAlign val="baseline"/>
        <sz val="10"/>
        <color rgb="FF7030A0"/>
        <name val="Palatino Linotype"/>
        <scheme val="none"/>
      </font>
      <numFmt numFmtId="0" formatCode="General"/>
      <alignment horizontal="left" textRotation="0" indent="0" justifyLastLine="0" shrinkToFit="0" readingOrder="0"/>
    </dxf>
    <dxf>
      <font>
        <b val="0"/>
        <i val="0"/>
        <strike val="0"/>
        <condense val="0"/>
        <extend val="0"/>
        <outline val="0"/>
        <shadow val="0"/>
        <u val="none"/>
        <vertAlign val="baseline"/>
        <sz val="10"/>
        <color rgb="FF7030A0"/>
        <name val="Palatino Linotype"/>
        <scheme val="none"/>
      </font>
      <alignment horizontal="left" textRotation="0" indent="0" justifyLastLine="0" shrinkToFit="0" readingOrder="0"/>
    </dxf>
    <dxf>
      <font>
        <i val="0"/>
        <strike val="0"/>
        <outline val="0"/>
        <shadow val="0"/>
        <sz val="10"/>
        <name val="Palatino Linotype"/>
        <scheme val="none"/>
      </font>
      <numFmt numFmtId="0" formatCode="General"/>
      <alignment horizontal="left" textRotation="0" indent="0" justifyLastLine="0" shrinkToFit="0" readingOrder="0"/>
    </dxf>
    <dxf>
      <font>
        <i val="0"/>
        <strike val="0"/>
        <outline val="0"/>
        <shadow val="0"/>
        <sz val="10"/>
        <name val="Palatino Linotype"/>
        <scheme val="none"/>
      </font>
      <alignment horizontal="left" textRotation="0" indent="0" justifyLastLine="0" shrinkToFit="0" readingOrder="0"/>
    </dxf>
    <dxf>
      <font>
        <i val="0"/>
        <strike val="0"/>
        <outline val="0"/>
        <shadow val="0"/>
        <sz val="10"/>
        <name val="Palatino Linotype"/>
        <scheme val="none"/>
      </font>
      <alignment horizontal="left" textRotation="0" indent="0" justifyLastLine="0" shrinkToFit="0" readingOrder="0"/>
    </dxf>
    <dxf>
      <font>
        <i val="0"/>
        <strike val="0"/>
        <outline val="0"/>
        <shadow val="0"/>
        <sz val="10"/>
        <name val="Palatino Linotype"/>
        <scheme val="none"/>
      </font>
      <numFmt numFmtId="0" formatCode="General"/>
      <alignment horizontal="left" textRotation="0" indent="0" justifyLastLine="0" shrinkToFit="0" readingOrder="0"/>
    </dxf>
    <dxf>
      <font>
        <i val="0"/>
        <strike val="0"/>
        <outline val="0"/>
        <shadow val="0"/>
        <sz val="10"/>
        <name val="Palatino Linotype"/>
        <scheme val="none"/>
      </font>
      <alignment horizontal="left" textRotation="0" indent="0" justifyLastLine="0" shrinkToFit="0" readingOrder="0"/>
    </dxf>
    <dxf>
      <font>
        <i val="0"/>
        <strike val="0"/>
        <outline val="0"/>
        <shadow val="0"/>
        <sz val="10"/>
        <name val="Palatino Linotype"/>
        <scheme val="none"/>
      </font>
      <numFmt numFmtId="0" formatCode="General"/>
      <alignment horizontal="left" textRotation="0" indent="0" justifyLastLine="0" shrinkToFit="0" readingOrder="0"/>
    </dxf>
    <dxf>
      <font>
        <i val="0"/>
        <strike val="0"/>
        <outline val="0"/>
        <shadow val="0"/>
        <sz val="10"/>
        <name val="Palatino Linotype"/>
        <scheme val="none"/>
      </font>
      <alignment horizontal="left" textRotation="0" indent="0" justifyLastLine="0" shrinkToFit="0" readingOrder="0"/>
    </dxf>
    <dxf>
      <font>
        <i val="0"/>
        <strike val="0"/>
        <outline val="0"/>
        <shadow val="0"/>
        <sz val="10"/>
        <name val="Palatino Linotype"/>
        <scheme val="none"/>
      </font>
      <numFmt numFmtId="0" formatCode="General"/>
      <alignment horizontal="left" textRotation="0" indent="0" justifyLastLine="0" shrinkToFit="0" readingOrder="0"/>
    </dxf>
    <dxf>
      <font>
        <i val="0"/>
        <strike val="0"/>
        <outline val="0"/>
        <shadow val="0"/>
        <sz val="10"/>
        <name val="Palatino Linotype"/>
        <scheme val="none"/>
      </font>
      <alignment horizontal="left" textRotation="0" indent="0" justifyLastLine="0" shrinkToFit="0" readingOrder="0"/>
    </dxf>
    <dxf>
      <font>
        <i val="0"/>
        <strike val="0"/>
        <outline val="0"/>
        <shadow val="0"/>
        <sz val="10"/>
        <name val="Palatino Linotype"/>
        <scheme val="none"/>
      </font>
      <alignment horizontal="left" textRotation="0" indent="0" justifyLastLine="0" shrinkToFit="0" readingOrder="0"/>
    </dxf>
    <dxf>
      <font>
        <i val="0"/>
        <strike val="0"/>
        <outline val="0"/>
        <shadow val="0"/>
        <vertAlign val="baseline"/>
        <sz val="10"/>
        <color rgb="FFC00000"/>
        <name val="Palatino Linotype"/>
        <scheme val="none"/>
      </font>
      <alignment horizontal="left" textRotation="0" indent="0" justifyLastLine="0" shrinkToFit="0" readingOrder="0"/>
    </dxf>
    <dxf>
      <font>
        <i val="0"/>
        <strike val="0"/>
        <outline val="0"/>
        <shadow val="0"/>
        <vertAlign val="baseline"/>
        <sz val="10"/>
        <color rgb="FFC00000"/>
        <name val="Palatino Linotype"/>
        <scheme val="none"/>
      </font>
      <alignment horizontal="left" textRotation="0" indent="0" justifyLastLine="0" shrinkToFit="0" readingOrder="0"/>
    </dxf>
    <dxf>
      <font>
        <i val="0"/>
        <strike val="0"/>
        <outline val="0"/>
        <shadow val="0"/>
        <vertAlign val="baseline"/>
        <sz val="10"/>
        <color rgb="FFC00000"/>
        <name val="Palatino Linotype"/>
        <scheme val="none"/>
      </font>
      <alignment horizontal="left" textRotation="0" indent="0" justifyLastLine="0" shrinkToFit="0" readingOrder="0"/>
    </dxf>
    <dxf>
      <font>
        <i val="0"/>
        <strike val="0"/>
        <outline val="0"/>
        <shadow val="0"/>
        <vertAlign val="baseline"/>
        <sz val="10"/>
        <color rgb="FFC00000"/>
        <name val="Palatino Linotype"/>
        <scheme val="none"/>
      </font>
      <alignment horizontal="left" textRotation="0" indent="0" justifyLastLine="0" shrinkToFit="0" readingOrder="0"/>
    </dxf>
    <dxf>
      <font>
        <i val="0"/>
        <strike val="0"/>
        <outline val="0"/>
        <shadow val="0"/>
        <vertAlign val="baseline"/>
        <sz val="10"/>
        <color rgb="FFC00000"/>
        <name val="Palatino Linotype"/>
        <scheme val="none"/>
      </font>
      <alignment horizontal="left" textRotation="0" indent="0" justifyLastLine="0" shrinkToFit="0" readingOrder="0"/>
    </dxf>
    <dxf>
      <font>
        <i val="0"/>
        <strike val="0"/>
        <outline val="0"/>
        <shadow val="0"/>
        <vertAlign val="baseline"/>
        <sz val="10"/>
        <color rgb="FFC00000"/>
        <name val="Palatino Linotype"/>
        <scheme val="none"/>
      </font>
      <numFmt numFmtId="0" formatCode="General"/>
      <alignment horizontal="left" textRotation="0" indent="0" justifyLastLine="0" shrinkToFit="0" readingOrder="0"/>
    </dxf>
    <dxf>
      <font>
        <i val="0"/>
        <strike val="0"/>
        <outline val="0"/>
        <shadow val="0"/>
        <vertAlign val="baseline"/>
        <sz val="10"/>
        <color rgb="FFC00000"/>
        <name val="Palatino Linotype"/>
        <scheme val="none"/>
      </font>
      <alignment horizontal="left" textRotation="0" indent="0" justifyLastLine="0" shrinkToFit="0" readingOrder="0"/>
    </dxf>
    <dxf>
      <font>
        <i val="0"/>
        <strike val="0"/>
        <outline val="0"/>
        <shadow val="0"/>
        <vertAlign val="baseline"/>
        <sz val="10"/>
        <color rgb="FFC00000"/>
        <name val="Palatino Linotype"/>
        <scheme val="none"/>
      </font>
      <numFmt numFmtId="0" formatCode="General"/>
      <alignment horizontal="left" textRotation="0" indent="0" justifyLastLine="0" shrinkToFit="0" readingOrder="0"/>
    </dxf>
    <dxf>
      <font>
        <i val="0"/>
        <strike val="0"/>
        <outline val="0"/>
        <shadow val="0"/>
        <vertAlign val="baseline"/>
        <sz val="10"/>
        <color rgb="FFC00000"/>
        <name val="Palatino Linotype"/>
        <scheme val="none"/>
      </font>
      <alignment horizontal="left" textRotation="0" indent="0" justifyLastLine="0" shrinkToFit="0" readingOrder="0"/>
    </dxf>
    <dxf>
      <font>
        <i val="0"/>
        <strike val="0"/>
        <outline val="0"/>
        <shadow val="0"/>
        <vertAlign val="baseline"/>
        <sz val="10"/>
        <color rgb="FFC00000"/>
        <name val="Palatino Linotype"/>
        <scheme val="none"/>
      </font>
      <alignment horizontal="left" textRotation="0" indent="0" justifyLastLine="0" shrinkToFit="0" readingOrder="0"/>
    </dxf>
    <dxf>
      <font>
        <i val="0"/>
        <strike val="0"/>
        <outline val="0"/>
        <shadow val="0"/>
        <vertAlign val="baseline"/>
        <sz val="10"/>
        <color rgb="FFC00000"/>
        <name val="Palatino Linotype"/>
        <scheme val="none"/>
      </font>
      <alignment horizontal="left" textRotation="0" indent="0" justifyLastLine="0" shrinkToFit="0" readingOrder="0"/>
    </dxf>
    <dxf>
      <font>
        <i val="0"/>
        <strike val="0"/>
        <outline val="0"/>
        <shadow val="0"/>
        <vertAlign val="baseline"/>
        <sz val="10"/>
        <color rgb="FFC00000"/>
        <name val="Palatino Linotype"/>
        <scheme val="none"/>
      </font>
      <alignment horizontal="left" textRotation="0" indent="0" justifyLastLine="0" shrinkToFit="0" readingOrder="0"/>
    </dxf>
    <dxf>
      <font>
        <i val="0"/>
        <strike val="0"/>
        <outline val="0"/>
        <shadow val="0"/>
        <vertAlign val="baseline"/>
        <sz val="10"/>
        <color rgb="FFC00000"/>
        <name val="Palatino Linotype"/>
        <scheme val="none"/>
      </font>
      <alignment horizontal="left" textRotation="0" indent="0" justifyLastLine="0" shrinkToFit="0" readingOrder="0"/>
    </dxf>
    <dxf>
      <font>
        <i val="0"/>
        <strike val="0"/>
        <outline val="0"/>
        <shadow val="0"/>
        <vertAlign val="baseline"/>
        <sz val="10"/>
        <color rgb="FFC00000"/>
        <name val="Palatino Linotype"/>
        <scheme val="none"/>
      </font>
      <alignment horizontal="left" textRotation="0" indent="0" justifyLastLine="0" shrinkToFit="0" readingOrder="0"/>
    </dxf>
    <dxf>
      <font>
        <i val="0"/>
        <strike val="0"/>
        <outline val="0"/>
        <shadow val="0"/>
        <vertAlign val="baseline"/>
        <sz val="10"/>
        <color rgb="FFC00000"/>
        <name val="Palatino Linotype"/>
        <scheme val="none"/>
      </font>
      <numFmt numFmtId="0" formatCode="General"/>
      <alignment horizontal="left" textRotation="0" indent="0" justifyLastLine="0" shrinkToFit="0" readingOrder="0"/>
    </dxf>
    <dxf>
      <font>
        <i val="0"/>
        <strike val="0"/>
        <outline val="0"/>
        <shadow val="0"/>
        <vertAlign val="baseline"/>
        <sz val="10"/>
        <color rgb="FFC00000"/>
        <name val="Palatino Linotype"/>
        <scheme val="none"/>
      </font>
      <alignment horizontal="left" textRotation="0" indent="0" justifyLastLine="0" shrinkToFit="0" readingOrder="0"/>
    </dxf>
    <dxf>
      <font>
        <i val="0"/>
        <strike val="0"/>
        <outline val="0"/>
        <shadow val="0"/>
        <vertAlign val="baseline"/>
        <sz val="10"/>
        <color rgb="FFC00000"/>
        <name val="Palatino Linotype"/>
        <scheme val="none"/>
      </font>
      <numFmt numFmtId="0" formatCode="General"/>
      <alignment horizontal="left" textRotation="0" indent="0" justifyLastLine="0" shrinkToFit="0" readingOrder="0"/>
    </dxf>
    <dxf>
      <font>
        <i val="0"/>
        <strike val="0"/>
        <outline val="0"/>
        <shadow val="0"/>
        <vertAlign val="baseline"/>
        <sz val="10"/>
        <color rgb="FFC00000"/>
        <name val="Palatino Linotype"/>
        <scheme val="none"/>
      </font>
      <alignment horizontal="left" textRotation="0" indent="0" justifyLastLine="0" shrinkToFit="0" readingOrder="0"/>
    </dxf>
    <dxf>
      <font>
        <i val="0"/>
        <strike val="0"/>
        <outline val="0"/>
        <shadow val="0"/>
        <vertAlign val="baseline"/>
        <sz val="10"/>
        <color rgb="FFC00000"/>
        <name val="Palatino Linotype"/>
        <scheme val="none"/>
      </font>
      <numFmt numFmtId="0" formatCode="General"/>
      <alignment horizontal="left" textRotation="0" indent="0" justifyLastLine="0" shrinkToFit="0" readingOrder="0"/>
    </dxf>
    <dxf>
      <font>
        <i val="0"/>
        <strike val="0"/>
        <outline val="0"/>
        <shadow val="0"/>
        <vertAlign val="baseline"/>
        <sz val="10"/>
        <color rgb="FFC00000"/>
        <name val="Palatino Linotype"/>
        <scheme val="none"/>
      </font>
      <alignment horizontal="left" textRotation="0" indent="0" justifyLastLine="0" shrinkToFit="0" readingOrder="0"/>
    </dxf>
    <dxf>
      <font>
        <b val="0"/>
        <i val="0"/>
        <strike val="0"/>
        <condense val="0"/>
        <extend val="0"/>
        <outline val="0"/>
        <shadow val="0"/>
        <u val="none"/>
        <vertAlign val="baseline"/>
        <sz val="10"/>
        <color rgb="FFC00000"/>
        <name val="Palatino Linotype"/>
        <scheme val="none"/>
      </font>
      <alignment horizontal="left" textRotation="0" indent="0" justifyLastLine="0" shrinkToFit="0" readingOrder="0"/>
    </dxf>
    <dxf>
      <font>
        <i val="0"/>
        <strike val="0"/>
        <outline val="0"/>
        <shadow val="0"/>
        <vertAlign val="baseline"/>
        <sz val="10"/>
        <color rgb="FFC00000"/>
        <name val="Palatino Linotype"/>
        <scheme val="none"/>
      </font>
      <alignment horizontal="left" textRotation="0" indent="0" justifyLastLine="0" shrinkToFit="0" readingOrder="0"/>
    </dxf>
    <dxf>
      <font>
        <i val="0"/>
        <strike val="0"/>
        <outline val="0"/>
        <shadow val="0"/>
        <sz val="10"/>
        <name val="Palatino Linotype"/>
        <scheme val="none"/>
      </font>
      <numFmt numFmtId="0" formatCode="General"/>
      <alignment horizontal="left" textRotation="0" indent="0" justifyLastLine="0" shrinkToFit="0" readingOrder="0"/>
    </dxf>
    <dxf>
      <font>
        <i val="0"/>
        <strike val="0"/>
        <outline val="0"/>
        <shadow val="0"/>
        <sz val="10"/>
        <name val="Palatino Linotype"/>
        <scheme val="none"/>
      </font>
      <alignment horizontal="left" textRotation="0" indent="0" justifyLastLine="0" shrinkToFit="0" readingOrder="0"/>
    </dxf>
    <dxf>
      <font>
        <i val="0"/>
        <strike val="0"/>
        <outline val="0"/>
        <shadow val="0"/>
        <sz val="10"/>
        <name val="Palatino Linotype"/>
        <scheme val="none"/>
      </font>
      <alignment horizontal="left" textRotation="0" indent="0" justifyLastLine="0" shrinkToFit="0" readingOrder="0"/>
    </dxf>
    <dxf>
      <font>
        <i val="0"/>
        <strike val="0"/>
        <outline val="0"/>
        <shadow val="0"/>
        <sz val="10"/>
        <name val="Palatino Linotype"/>
        <scheme val="none"/>
      </font>
      <alignment horizontal="left" textRotation="0" indent="0" justifyLastLine="0" shrinkToFit="0" readingOrder="0"/>
    </dxf>
    <dxf>
      <font>
        <i val="0"/>
        <strike val="0"/>
        <outline val="0"/>
        <shadow val="0"/>
        <sz val="10"/>
        <name val="Palatino Linotype"/>
        <scheme val="none"/>
      </font>
      <alignment horizontal="left" textRotation="0" indent="0" justifyLastLine="0" shrinkToFit="0" readingOrder="0"/>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b/>
        <i val="0"/>
        <strike val="0"/>
        <condense val="0"/>
        <extend val="0"/>
        <outline val="0"/>
        <shadow val="0"/>
        <u val="none"/>
        <vertAlign val="baseline"/>
        <sz val="10"/>
        <color theme="1"/>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font>
        <i val="0"/>
        <strike val="0"/>
        <outline val="0"/>
        <shadow val="0"/>
        <sz val="10"/>
        <name val="Palatino Linotype"/>
        <scheme val="none"/>
      </font>
    </dxf>
    <dxf>
      <border outline="0">
        <left style="medium">
          <color indexed="64"/>
        </left>
      </border>
    </dxf>
    <dxf>
      <font>
        <i val="0"/>
        <strike val="0"/>
        <outline val="0"/>
        <shadow val="0"/>
        <sz val="10"/>
        <name val="Palatino Linotype"/>
        <scheme val="none"/>
      </font>
    </dxf>
    <dxf>
      <font>
        <b val="0"/>
        <i val="0"/>
        <strike val="0"/>
        <condense val="0"/>
        <extend val="0"/>
        <outline val="0"/>
        <shadow val="0"/>
        <u val="none"/>
        <vertAlign val="baseline"/>
        <sz val="10"/>
        <color theme="1"/>
        <name val="Palatino Linotype"/>
        <scheme val="none"/>
      </font>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numFmt numFmtId="0" formatCode="General"/>
    </dxf>
    <dxf>
      <font>
        <i val="0"/>
        <strike val="0"/>
        <outline val="0"/>
        <shadow val="0"/>
        <u val="none"/>
        <sz val="10"/>
        <name val="Palatino Linotype"/>
        <scheme val="none"/>
      </font>
    </dxf>
    <dxf>
      <font>
        <i val="0"/>
        <strike val="0"/>
        <outline val="0"/>
        <shadow val="0"/>
        <u val="none"/>
        <sz val="10"/>
        <name val="Palatino Linotype"/>
        <scheme val="none"/>
      </font>
    </dxf>
    <dxf>
      <font>
        <i val="0"/>
        <strike val="0"/>
        <outline val="0"/>
        <shadow val="0"/>
        <u val="none"/>
        <sz val="10"/>
        <name val="Palatino Linotype"/>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1</xdr:row>
      <xdr:rowOff>82550</xdr:rowOff>
    </xdr:from>
    <xdr:to>
      <xdr:col>10</xdr:col>
      <xdr:colOff>393700</xdr:colOff>
      <xdr:row>12</xdr:row>
      <xdr:rowOff>6350</xdr:rowOff>
    </xdr:to>
    <xdr:sp macro="" textlink="">
      <xdr:nvSpPr>
        <xdr:cNvPr id="2" name="TextBox 1">
          <a:extLst>
            <a:ext uri="{FF2B5EF4-FFF2-40B4-BE49-F238E27FC236}">
              <a16:creationId xmlns:a16="http://schemas.microsoft.com/office/drawing/2014/main" id="{1687CF07-A7FE-4CC1-96FD-AC3D4C0E6169}"/>
            </a:ext>
          </a:extLst>
        </xdr:cNvPr>
        <xdr:cNvSpPr txBox="1"/>
      </xdr:nvSpPr>
      <xdr:spPr>
        <a:xfrm>
          <a:off x="63500" y="82550"/>
          <a:ext cx="6426200" cy="194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Abberations:</a:t>
          </a:r>
        </a:p>
        <a:p>
          <a:r>
            <a:rPr lang="en-US" sz="1100"/>
            <a:t>n.a. = not available</a:t>
          </a:r>
          <a:r>
            <a:rPr lang="en-US" sz="1100" baseline="0"/>
            <a:t> = The Information was not found in any of the sources (Cause may also be that the testing was not necessary because the annually produced tonnage didn't cross specific values defined in REACH)</a:t>
          </a:r>
        </a:p>
        <a:p>
          <a:r>
            <a:rPr lang="en-US" sz="1100" baseline="0"/>
            <a:t>n.s. = not specified = The information was not specified in any of the sources (mostly additional information like pH or T for solubility tests or other)</a:t>
          </a:r>
        </a:p>
        <a:p>
          <a:r>
            <a:rPr lang="en-US" sz="1100" baseline="0"/>
            <a:t>n.r. = not required = The information was not required because of phys/chem/tox properties of the substance which make the required test technically not feasible</a:t>
          </a:r>
          <a:endParaRPr lang="en-US" sz="1100"/>
        </a:p>
      </xdr:txBody>
    </xdr:sp>
    <xdr:clientData/>
  </xdr:twoCellAnchor>
  <xdr:twoCellAnchor>
    <xdr:from>
      <xdr:col>10</xdr:col>
      <xdr:colOff>460829</xdr:colOff>
      <xdr:row>1</xdr:row>
      <xdr:rowOff>76200</xdr:rowOff>
    </xdr:from>
    <xdr:to>
      <xdr:col>20</xdr:col>
      <xdr:colOff>15241</xdr:colOff>
      <xdr:row>12</xdr:row>
      <xdr:rowOff>5442</xdr:rowOff>
    </xdr:to>
    <xdr:sp macro="" textlink="">
      <xdr:nvSpPr>
        <xdr:cNvPr id="3" name="TextBox 2">
          <a:extLst>
            <a:ext uri="{FF2B5EF4-FFF2-40B4-BE49-F238E27FC236}">
              <a16:creationId xmlns:a16="http://schemas.microsoft.com/office/drawing/2014/main" id="{FE19F745-7BB4-4C1E-8CD8-B8CC50C55FA6}"/>
            </a:ext>
          </a:extLst>
        </xdr:cNvPr>
        <xdr:cNvSpPr txBox="1"/>
      </xdr:nvSpPr>
      <xdr:spPr>
        <a:xfrm>
          <a:off x="6831149" y="259080"/>
          <a:ext cx="5924732" cy="1940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Data use and evaluation:</a:t>
          </a:r>
        </a:p>
        <a:p>
          <a:r>
            <a:rPr lang="en-US" sz="1100" baseline="0"/>
            <a:t>Data gathered from databases and literature was  first sorted/imported into different base sheets (References, Fluorescence, GHS, Phys Chem, etc.). In the MasterSheet, the function VLookup was used. This allows to work in the MasterSheet and sort/exclude/include different values and parameters without the possibility of affecting the base data.  It is recommend to refrain from working in the different base sheets except from the master sheet to avoid false alignment of information (aside from adding new markers and their information).</a:t>
          </a:r>
          <a:endParaRPr lang="en-US" sz="1100"/>
        </a:p>
      </xdr:txBody>
    </xdr:sp>
    <xdr:clientData/>
  </xdr:twoCellAnchor>
  <xdr:twoCellAnchor>
    <xdr:from>
      <xdr:col>10</xdr:col>
      <xdr:colOff>468992</xdr:colOff>
      <xdr:row>12</xdr:row>
      <xdr:rowOff>76199</xdr:rowOff>
    </xdr:from>
    <xdr:to>
      <xdr:col>20</xdr:col>
      <xdr:colOff>15239</xdr:colOff>
      <xdr:row>34</xdr:row>
      <xdr:rowOff>141513</xdr:rowOff>
    </xdr:to>
    <xdr:sp macro="" textlink="">
      <xdr:nvSpPr>
        <xdr:cNvPr id="5" name="TextBox 4">
          <a:extLst>
            <a:ext uri="{FF2B5EF4-FFF2-40B4-BE49-F238E27FC236}">
              <a16:creationId xmlns:a16="http://schemas.microsoft.com/office/drawing/2014/main" id="{35CBBDF1-9740-4F63-9BFB-29CE67ED31C0}"/>
            </a:ext>
          </a:extLst>
        </xdr:cNvPr>
        <xdr:cNvSpPr txBox="1"/>
      </xdr:nvSpPr>
      <xdr:spPr>
        <a:xfrm>
          <a:off x="6839312" y="2270759"/>
          <a:ext cx="5916567" cy="4088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Priority</a:t>
          </a:r>
          <a:r>
            <a:rPr lang="en-US" sz="1100" baseline="0"/>
            <a:t> and d</a:t>
          </a:r>
          <a:r>
            <a:rPr lang="en-US" sz="1100"/>
            <a:t>ata flow:</a:t>
          </a:r>
          <a:r>
            <a:rPr lang="en-US" sz="1100" baseline="0"/>
            <a:t> </a:t>
          </a:r>
        </a:p>
        <a:p>
          <a:r>
            <a:rPr lang="en-US" sz="1100"/>
            <a:t>If a substance is not registered</a:t>
          </a:r>
          <a:r>
            <a:rPr lang="en-US" sz="1100" baseline="0"/>
            <a:t> under REACH data from CLP will be used. This may lead to a lack of phys,- chem,- parameter in which case the safety data sheed provided by the distributer will be taken into account as seen in the figure on the bottom right.</a:t>
          </a:r>
          <a:endParaRPr lang="en-US" sz="1100"/>
        </a:p>
      </xdr:txBody>
    </xdr:sp>
    <xdr:clientData/>
  </xdr:twoCellAnchor>
  <xdr:twoCellAnchor>
    <xdr:from>
      <xdr:col>0</xdr:col>
      <xdr:colOff>66675</xdr:colOff>
      <xdr:row>12</xdr:row>
      <xdr:rowOff>74838</xdr:rowOff>
    </xdr:from>
    <xdr:to>
      <xdr:col>10</xdr:col>
      <xdr:colOff>397328</xdr:colOff>
      <xdr:row>22</xdr:row>
      <xdr:rowOff>179614</xdr:rowOff>
    </xdr:to>
    <xdr:sp macro="" textlink="">
      <xdr:nvSpPr>
        <xdr:cNvPr id="6" name="Textfeld 5">
          <a:extLst>
            <a:ext uri="{FF2B5EF4-FFF2-40B4-BE49-F238E27FC236}">
              <a16:creationId xmlns:a16="http://schemas.microsoft.com/office/drawing/2014/main" id="{EF4996C0-984D-471E-81B4-3778E6B55632}"/>
            </a:ext>
          </a:extLst>
        </xdr:cNvPr>
        <xdr:cNvSpPr txBox="1"/>
      </xdr:nvSpPr>
      <xdr:spPr>
        <a:xfrm>
          <a:off x="66675" y="2110467"/>
          <a:ext cx="6862082" cy="1955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Regarding</a:t>
          </a:r>
          <a:r>
            <a:rPr lang="en-US" sz="1100" baseline="0"/>
            <a:t> fluorescence:</a:t>
          </a:r>
        </a:p>
        <a:p>
          <a:r>
            <a:rPr lang="en-US" sz="1100" baseline="0"/>
            <a:t>The IR-Absorbance spectra mostly originate from chem-databases like pubchem, chemspider or spectrabase. </a:t>
          </a:r>
        </a:p>
        <a:p>
          <a:r>
            <a:rPr lang="en-US" sz="1100" baseline="0"/>
            <a:t>Also the peaks of the markers may shift, depending on the solvent/matrix they are integrated in.</a:t>
          </a:r>
        </a:p>
        <a:p>
          <a:r>
            <a:rPr lang="en-US" sz="1100" baseline="0"/>
            <a:t>Emission spectra will be primarely be found in literature and the used excitation wavelength will be noted.</a:t>
          </a:r>
        </a:p>
        <a:p>
          <a:r>
            <a:rPr lang="en-US" sz="1100" baseline="0"/>
            <a:t>NIR Absorbance of POM is negligible between 1785 nm and 2222 nm / 5600 cm-1 and 4500 cm-1 (Bec et al., 2021).</a:t>
          </a:r>
        </a:p>
        <a:p>
          <a:r>
            <a:rPr lang="en-US" sz="1100" baseline="0"/>
            <a:t>Possible NIR Markers should be placed in between this range.</a:t>
          </a:r>
        </a:p>
        <a:p>
          <a:r>
            <a:rPr lang="en-US" sz="1100" baseline="0"/>
            <a:t>In case of QDs and Nanotubes, relevant information will mostly originate from literature since the spectra from the database will originate from the base compound (e.g. CdTe) and will not take the specific attributes of the QD-form into account.</a:t>
          </a:r>
        </a:p>
        <a:p>
          <a:r>
            <a:rPr lang="en-US" sz="1100" baseline="0"/>
            <a:t>Data is incomplete since scouring the literature and databases requires significant ressources.</a:t>
          </a:r>
        </a:p>
        <a:p>
          <a:endParaRPr lang="en-US" sz="1100"/>
        </a:p>
      </xdr:txBody>
    </xdr:sp>
    <xdr:clientData/>
  </xdr:twoCellAnchor>
  <xdr:twoCellAnchor editAs="oneCell">
    <xdr:from>
      <xdr:col>16</xdr:col>
      <xdr:colOff>180361</xdr:colOff>
      <xdr:row>16</xdr:row>
      <xdr:rowOff>114300</xdr:rowOff>
    </xdr:from>
    <xdr:to>
      <xdr:col>19</xdr:col>
      <xdr:colOff>440871</xdr:colOff>
      <xdr:row>34</xdr:row>
      <xdr:rowOff>108857</xdr:rowOff>
    </xdr:to>
    <xdr:pic>
      <xdr:nvPicPr>
        <xdr:cNvPr id="10" name="Grafik 9">
          <a:extLst>
            <a:ext uri="{FF2B5EF4-FFF2-40B4-BE49-F238E27FC236}">
              <a16:creationId xmlns:a16="http://schemas.microsoft.com/office/drawing/2014/main" id="{89E22089-323E-AAE0-0883-C46AA4A1001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264" t="1618" r="68767" b="37131"/>
        <a:stretch/>
      </xdr:blipFill>
      <xdr:spPr>
        <a:xfrm>
          <a:off x="10391161" y="3040380"/>
          <a:ext cx="2157890" cy="3286397"/>
        </a:xfrm>
        <a:prstGeom prst="rect">
          <a:avLst/>
        </a:prstGeom>
      </xdr:spPr>
    </xdr:pic>
    <xdr:clientData/>
  </xdr:twoCellAnchor>
  <xdr:twoCellAnchor>
    <xdr:from>
      <xdr:col>0</xdr:col>
      <xdr:colOff>66675</xdr:colOff>
      <xdr:row>23</xdr:row>
      <xdr:rowOff>42182</xdr:rowOff>
    </xdr:from>
    <xdr:to>
      <xdr:col>10</xdr:col>
      <xdr:colOff>397328</xdr:colOff>
      <xdr:row>34</xdr:row>
      <xdr:rowOff>141514</xdr:rowOff>
    </xdr:to>
    <xdr:sp macro="" textlink="">
      <xdr:nvSpPr>
        <xdr:cNvPr id="7" name="Textfeld 6">
          <a:extLst>
            <a:ext uri="{FF2B5EF4-FFF2-40B4-BE49-F238E27FC236}">
              <a16:creationId xmlns:a16="http://schemas.microsoft.com/office/drawing/2014/main" id="{B78E801E-2541-40AC-BDC2-B9691D5AB7F7}"/>
            </a:ext>
          </a:extLst>
        </xdr:cNvPr>
        <xdr:cNvSpPr txBox="1"/>
      </xdr:nvSpPr>
      <xdr:spPr>
        <a:xfrm>
          <a:off x="66675" y="4113439"/>
          <a:ext cx="6862082" cy="2134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Ecotoxicology</a:t>
          </a:r>
          <a:r>
            <a:rPr lang="en-US" sz="1100" baseline="0"/>
            <a:t> and human toxicology:</a:t>
          </a:r>
        </a:p>
        <a:p>
          <a:r>
            <a:rPr lang="en-US" sz="1100" baseline="0"/>
            <a:t>Data in the Ecotoxicology sheet and toxicology sheet originates from REACH Registration Dossiers. The Data is incomplete since the Hazard statements displayed in the GHS sheets were used as proxys for uniform assessment of toxicity and ecotoxicity. The Data in the ecotoxicology and toxicology sheet was thought to be of use for additional differentiation in selection between seemingly identical useful substances.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15241</xdr:colOff>
      <xdr:row>1</xdr:row>
      <xdr:rowOff>35854</xdr:rowOff>
    </xdr:from>
    <xdr:to>
      <xdr:col>8</xdr:col>
      <xdr:colOff>975361</xdr:colOff>
      <xdr:row>26</xdr:row>
      <xdr:rowOff>124335</xdr:rowOff>
    </xdr:to>
    <xdr:pic>
      <xdr:nvPicPr>
        <xdr:cNvPr id="3" name="Grafik 2">
          <a:extLst>
            <a:ext uri="{FF2B5EF4-FFF2-40B4-BE49-F238E27FC236}">
              <a16:creationId xmlns:a16="http://schemas.microsoft.com/office/drawing/2014/main" id="{FB5793DA-7288-024A-7467-4AE0471B91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1" y="218734"/>
          <a:ext cx="9486900" cy="466048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hris o" id="{F57AC6CD-5AF2-4A4B-9A4F-5F3F13A26191}" userId="3273776f3a5bdea9" providerId="Windows Live"/>
  <person displayName="Christoph Olscher" id="{5BCE4D06-E233-49A4-8985-DC99CC2D22C6}" userId="Christoph Olscher" providerId="None"/>
</personList>
</file>

<file path=xl/tables/table1.xml><?xml version="1.0" encoding="utf-8"?>
<table xmlns="http://schemas.openxmlformats.org/spreadsheetml/2006/main" id="3" name="Table3" displayName="Table3" ref="A3:AV92" totalsRowShown="0" headerRowDxfId="276" dataDxfId="275">
  <autoFilter ref="A3:AV92"/>
  <sortState ref="A19:CI71">
    <sortCondition ref="N3:N92"/>
  </sortState>
  <tableColumns count="48">
    <tableColumn id="1" name="Marker Name / Summenformel" dataDxfId="274"/>
    <tableColumn id="2" name="substance class" dataDxfId="273">
      <calculatedColumnFormula>VLOOKUP(Table3[[#This Row],[Marker Name / Summenformel]],BaseInfos_Table[],2,FALSE)</calculatedColumnFormula>
    </tableColumn>
    <tableColumn id="3" name="CAS" dataDxfId="272">
      <calculatedColumnFormula>VLOOKUP(Table3[[#This Row],[Marker Name / Summenformel]],BaseInfos_Table[],3,FALSE)</calculatedColumnFormula>
    </tableColumn>
    <tableColumn id="87" name="EC number" dataDxfId="271">
      <calculatedColumnFormula>VLOOKUP(Table3[[#This Row],[Marker Name / Summenformel]],BaseInfos_Table[],4,FALSE)</calculatedColumnFormula>
    </tableColumn>
    <tableColumn id="4" name="References (first author / journal)" dataDxfId="270">
      <calculatedColumnFormula>VLOOKUP(Table3[[#This Row],[Marker Name / Summenformel]],BaseInfos_Table[],5,FALSE)</calculatedColumnFormula>
    </tableColumn>
    <tableColumn id="6" name="Detection method" dataDxfId="269">
      <calculatedColumnFormula>VLOOKUP(Table3[[#This Row],[Marker Name / Summenformel]],BaseInfos_Table[],6,FALSE)</calculatedColumnFormula>
    </tableColumn>
    <tableColumn id="7" name="Commercialy available (Y/N)" dataDxfId="268">
      <calculatedColumnFormula>VLOOKUP(Table3[[#This Row],[Marker Name / Summenformel]],BaseInfos_Table[],7,FALSE)</calculatedColumnFormula>
    </tableColumn>
    <tableColumn id="8" name="tonnage/yr" dataDxfId="267">
      <calculatedColumnFormula>VLOOKUP(Table3[[#This Row],[Marker Name / Summenformel]],BaseInfos_Table[],8,FALSE)</calculatedColumnFormula>
    </tableColumn>
    <tableColumn id="9" name="Source" dataDxfId="266">
      <calculatedColumnFormula>VLOOKUP(Table3[[#This Row],[Marker Name / Summenformel]],BaseInfos_Table[],9,FALSE)</calculatedColumnFormula>
    </tableColumn>
    <tableColumn id="10" name="Shop" dataDxfId="265">
      <calculatedColumnFormula>VLOOKUP(Table3[[#This Row],[Marker Name / Summenformel]],BaseInfos_Table[],10,FALSE)</calculatedColumnFormula>
    </tableColumn>
    <tableColumn id="30" name="Price (per kg)" dataDxfId="264">
      <calculatedColumnFormula>VLOOKUP(Table3[[#This Row],[Marker Name / Summenformel]],BaseInfos_Table[],11,FALSE)</calculatedColumnFormula>
    </tableColumn>
    <tableColumn id="28" name="Registration REACH/CLP" dataDxfId="263">
      <calculatedColumnFormula>VLOOKUP(Table3[[#This Row],[Marker Name / Summenformel]],GHS_Table[#All],3,FALSE)</calculatedColumnFormula>
    </tableColumn>
    <tableColumn id="29" name="Number of Hazard Statements in REACH Registration" dataDxfId="262">
      <calculatedColumnFormula>VLOOKUP(Table3[[#This Row],[Marker Name / Summenformel]],GHS_Table[#All],4,FALSE)</calculatedColumnFormula>
    </tableColumn>
    <tableColumn id="31" name="Number of Hazard Statements in CLP of all producers/importers combined" dataDxfId="261">
      <calculatedColumnFormula>VLOOKUP(Table3[[#This Row],[Marker Name / Summenformel]],GHS_Table[#All],5,FALSE)</calculatedColumnFormula>
    </tableColumn>
    <tableColumn id="32" name="Number of Hazard Statements in SDS" dataDxfId="260">
      <calculatedColumnFormula>VLOOKUP(Table3[[#This Row],[Marker Name / Summenformel]],GHS_Table[#All],6,FALSE)</calculatedColumnFormula>
    </tableColumn>
    <tableColumn id="11" name="State" dataDxfId="259">
      <calculatedColumnFormula>VLOOKUP(Table3[[#This Row],[Marker Name / Summenformel]],PhysChem_Table[],3,FALSE)</calculatedColumnFormula>
    </tableColumn>
    <tableColumn id="12" name="Colour" dataDxfId="258">
      <calculatedColumnFormula>VLOOKUP(Table3[[#This Row],[Marker Name / Summenformel]],PhysChem_Table[],4,FALSE)</calculatedColumnFormula>
    </tableColumn>
    <tableColumn id="13" name="MP (°C)" dataDxfId="257">
      <calculatedColumnFormula>VLOOKUP(Table3[[#This Row],[Marker Name / Summenformel]],PhysChem_Table[],5,FALSE)</calculatedColumnFormula>
    </tableColumn>
    <tableColumn id="14" name="MP Pressure (kPA)" dataDxfId="256">
      <calculatedColumnFormula>VLOOKUP(Table3[[#This Row],[Marker Name / Summenformel]],PhysChem_Table[],6,FALSE)</calculatedColumnFormula>
    </tableColumn>
    <tableColumn id="15" name="BP (°C)" dataDxfId="255">
      <calculatedColumnFormula>VLOOKUP(Table3[[#This Row],[Marker Name / Summenformel]],PhysChem_Table[],7,FALSE)</calculatedColumnFormula>
    </tableColumn>
    <tableColumn id="16" name="BP Pressure (kPA)" dataDxfId="254">
      <calculatedColumnFormula>VLOOKUP(Table3[[#This Row],[Marker Name / Summenformel]],PhysChem_Table[],8,FALSE)</calculatedColumnFormula>
    </tableColumn>
    <tableColumn id="17" name="Density (g/cm3)" dataDxfId="253">
      <calculatedColumnFormula>VLOOKUP(Table3[[#This Row],[Marker Name / Summenformel]],PhysChem_Table[],9,FALSE)</calculatedColumnFormula>
    </tableColumn>
    <tableColumn id="18" name="Density temp. (°C)" dataDxfId="252">
      <calculatedColumnFormula>VLOOKUP(Table3[[#This Row],[Marker Name / Summenformel]],PhysChem_Table[],10,FALSE)</calculatedColumnFormula>
    </tableColumn>
    <tableColumn id="19" name="particle size distribution" dataDxfId="251">
      <calculatedColumnFormula>VLOOKUP(Table3[[#This Row],[Marker Name / Summenformel]],PhysChem_Table[],11,FALSE)</calculatedColumnFormula>
    </tableColumn>
    <tableColumn id="20" name="VP Pressure (Pa)" dataDxfId="250">
      <calculatedColumnFormula>VLOOKUP(Table3[[#This Row],[Marker Name / Summenformel]],PhysChem_Table[],12,FALSE)</calculatedColumnFormula>
    </tableColumn>
    <tableColumn id="21" name="VP (°C)" dataDxfId="249">
      <calculatedColumnFormula>VLOOKUP(Table3[[#This Row],[Marker Name / Summenformel]],PhysChem_Table[],13,FALSE)</calculatedColumnFormula>
    </tableColumn>
    <tableColumn id="22" name="log Pow" dataDxfId="248">
      <calculatedColumnFormula>VLOOKUP(Table3[[#This Row],[Marker Name / Summenformel]],PhysChem_Table[],14,FALSE)</calculatedColumnFormula>
    </tableColumn>
    <tableColumn id="23" name="log POW temp (°C)" dataDxfId="247">
      <calculatedColumnFormula>VLOOKUP(Table3[[#This Row],[Marker Name / Summenformel]],PhysChem_Table[],15,FALSE)</calculatedColumnFormula>
    </tableColumn>
    <tableColumn id="24" name="SH2O (g/L)" dataDxfId="246">
      <calculatedColumnFormula>VLOOKUP(Table3[[#This Row],[Marker Name / Summenformel]],PhysChem_Table[],16,FALSE)</calculatedColumnFormula>
    </tableColumn>
    <tableColumn id="25" name="SH2O temp. (°C)" dataDxfId="245">
      <calculatedColumnFormula>VLOOKUP(Table3[[#This Row],[Marker Name / Summenformel]],PhysChem_Table[],17,FALSE)</calculatedColumnFormula>
    </tableColumn>
    <tableColumn id="5" name="Solvent" dataDxfId="244">
      <calculatedColumnFormula>VLOOKUP(Table3[[#This Row],[Marker Name / Summenformel]],PhysChem_Table[],18,FALSE)</calculatedColumnFormula>
    </tableColumn>
    <tableColumn id="26" name="SOS (g/L)" dataDxfId="243">
      <calculatedColumnFormula>VLOOKUP(Table3[[#This Row],[Marker Name / Summenformel]],PhysChem_Table[],19,FALSE)</calculatedColumnFormula>
    </tableColumn>
    <tableColumn id="33" name="SOS temp. (°C)" dataDxfId="242">
      <calculatedColumnFormula>VLOOKUP(Table3[[#This Row],[Marker Name / Summenformel]],PhysChem_Table[],20,FALSE)</calculatedColumnFormula>
    </tableColumn>
    <tableColumn id="27" name="surface tension (N/M)" dataDxfId="241">
      <calculatedColumnFormula>VLOOKUP(Table3[[#This Row],[Marker Name / Summenformel]],PhysChem_Table[],21,FALSE)</calculatedColumnFormula>
    </tableColumn>
    <tableColumn id="34" name="FP temp (°C)" dataDxfId="240">
      <calculatedColumnFormula>VLOOKUP(Table3[[#This Row],[Marker Name / Summenformel]],PhysChem_Table[],22,FALSE)</calculatedColumnFormula>
    </tableColumn>
    <tableColumn id="35" name="FP Pressure (kPa)" dataDxfId="239">
      <calculatedColumnFormula>VLOOKUP(Table3[[#This Row],[Marker Name / Summenformel]],PhysChem_Table[],23,FALSE)</calculatedColumnFormula>
    </tableColumn>
    <tableColumn id="36" name="auto fammability (Y/N)" dataDxfId="238">
      <calculatedColumnFormula>VLOOKUP(Table3[[#This Row],[Marker Name / Summenformel]],PhysChem_Table[],24,FALSE)</calculatedColumnFormula>
    </tableColumn>
    <tableColumn id="37" name="flammability" dataDxfId="237">
      <calculatedColumnFormula>VLOOKUP(Table3[[#This Row],[Marker Name / Summenformel]],PhysChem_Table[],25,FALSE)</calculatedColumnFormula>
    </tableColumn>
    <tableColumn id="38" name="explosiveness" dataDxfId="236">
      <calculatedColumnFormula>VLOOKUP(Table3[[#This Row],[Marker Name / Summenformel]],PhysChem_Table[],26,FALSE)</calculatedColumnFormula>
    </tableColumn>
    <tableColumn id="39" name="oxidising prop." dataDxfId="235">
      <calculatedColumnFormula>VLOOKUP(Table3[[#This Row],[Marker Name / Summenformel]],PhysChem_Table[],27,FALSE)</calculatedColumnFormula>
    </tableColumn>
    <tableColumn id="40" name="stability organic solvents" dataDxfId="234">
      <calculatedColumnFormula>VLOOKUP(Table3[[#This Row],[Marker Name / Summenformel]],PhysChem_Table[],28,FALSE)</calculatedColumnFormula>
    </tableColumn>
    <tableColumn id="41" name="storage stability" dataDxfId="233">
      <calculatedColumnFormula>VLOOKUP(Table3[[#This Row],[Marker Name / Summenformel]],PhysChem_Table[],29,FALSE)</calculatedColumnFormula>
    </tableColumn>
    <tableColumn id="42" name="stability: t, s, m" dataDxfId="232">
      <calculatedColumnFormula>VLOOKUP(Table3[[#This Row],[Marker Name / Summenformel]],PhysChem_Table[],30,FALSE)</calculatedColumnFormula>
    </tableColumn>
    <tableColumn id="43" name="ph" dataDxfId="231">
      <calculatedColumnFormula>VLOOKUP(Table3[[#This Row],[Marker Name / Summenformel]],PhysChem_Table[],31,FALSE)</calculatedColumnFormula>
    </tableColumn>
    <tableColumn id="44" name="dissociation constant" dataDxfId="230">
      <calculatedColumnFormula>VLOOKUP(Table3[[#This Row],[Marker Name / Summenformel]],PhysChem_Table[],32,FALSE)</calculatedColumnFormula>
    </tableColumn>
    <tableColumn id="45" name="Viscosity" dataDxfId="229">
      <calculatedColumnFormula>VLOOKUP(Table3[[#This Row],[Marker Name / Summenformel]],PhysChem_Table[],33,FALSE)</calculatedColumnFormula>
    </tableColumn>
    <tableColumn id="46" name="Source 1" dataDxfId="228">
      <calculatedColumnFormula>VLOOKUP(Table3[[#This Row],[Marker Name / Summenformel]],PhysChem_Table[],34,FALSE)</calculatedColumnFormula>
    </tableColumn>
    <tableColumn id="47" name="Source 2" dataDxfId="227">
      <calculatedColumnFormula>VLOOKUP(Table3[[#This Row],[Marker Name / Summenformel]],PhysChem_Table[],35,FALSE)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7" name="BaseInfos_Table" displayName="BaseInfos_Table" ref="A2:K100" totalsRowShown="0" headerRowDxfId="226" dataDxfId="225" tableBorderDxfId="224">
  <autoFilter ref="A2:K100"/>
  <tableColumns count="11">
    <tableColumn id="1" name="Marker name" dataDxfId="223"/>
    <tableColumn id="2" name="Substance class" dataDxfId="222"/>
    <tableColumn id="3" name="CAS" dataDxfId="221"/>
    <tableColumn id="5" name="EC number" dataDxfId="220"/>
    <tableColumn id="4" name="References (first author / journal)" dataDxfId="219"/>
    <tableColumn id="8" name="Detection method" dataDxfId="218"/>
    <tableColumn id="11" name="Commercialy available (Yes/No)" dataDxfId="217"/>
    <tableColumn id="12" name="Tonnage/year" dataDxfId="216"/>
    <tableColumn id="13" name="Source" dataDxfId="215"/>
    <tableColumn id="14" name="Shop" dataDxfId="214"/>
    <tableColumn id="6" name="Price per kg" dataDxfId="213"/>
  </tableColumns>
  <tableStyleInfo name="TableStyleMedium2" showFirstColumn="0" showLastColumn="0" showRowStripes="1" showColumnStripes="0"/>
</table>
</file>

<file path=xl/tables/table3.xml><?xml version="1.0" encoding="utf-8"?>
<table xmlns="http://schemas.openxmlformats.org/spreadsheetml/2006/main" id="1" name="GHS_Table" displayName="GHS_Table" ref="A3:BQ100" totalsRowShown="0" headerRowDxfId="212" dataDxfId="211">
  <autoFilter ref="A3:BQ100"/>
  <tableColumns count="69">
    <tableColumn id="1" name="Marker name" dataDxfId="210"/>
    <tableColumn id="2" name="CAS" dataDxfId="209"/>
    <tableColumn id="110" name="REACH/CLP" dataDxfId="208"/>
    <tableColumn id="3" name="Number of Hazard Statements in REACH Registration" dataDxfId="207"/>
    <tableColumn id="112" name="Number of Hazard Statements in CLP of all producers/importers combined" dataDxfId="206"/>
    <tableColumn id="113" name="Number of Hazard Statements in SDS" dataDxfId="205"/>
    <tableColumn id="114" name="Supplier" dataDxfId="204"/>
    <tableColumn id="4" name="H200" dataDxfId="203"/>
    <tableColumn id="5" name="H201" dataDxfId="202"/>
    <tableColumn id="6" name="H202" dataDxfId="201"/>
    <tableColumn id="7" name="H203" dataDxfId="200"/>
    <tableColumn id="8" name="H204" dataDxfId="199"/>
    <tableColumn id="9" name="H205" dataDxfId="198"/>
    <tableColumn id="10" name="H220" dataDxfId="197"/>
    <tableColumn id="11" name="H221" dataDxfId="196"/>
    <tableColumn id="12" name="H222" dataDxfId="195"/>
    <tableColumn id="13" name="H223" dataDxfId="194"/>
    <tableColumn id="14" name="H224" dataDxfId="193"/>
    <tableColumn id="15" name="H225" dataDxfId="192"/>
    <tableColumn id="16" name="H226" dataDxfId="191"/>
    <tableColumn id="17" name="H228" dataDxfId="190"/>
    <tableColumn id="18" name="H240" dataDxfId="189"/>
    <tableColumn id="19" name="H241" dataDxfId="188"/>
    <tableColumn id="20" name="H242" dataDxfId="187"/>
    <tableColumn id="21" name="H250" dataDxfId="186"/>
    <tableColumn id="22" name="H251" dataDxfId="185"/>
    <tableColumn id="23" name="H252" dataDxfId="184"/>
    <tableColumn id="24" name="H260" dataDxfId="183"/>
    <tableColumn id="25" name="H261" dataDxfId="182"/>
    <tableColumn id="26" name="H270" dataDxfId="181"/>
    <tableColumn id="27" name="H271" dataDxfId="180"/>
    <tableColumn id="28" name="H272" dataDxfId="179"/>
    <tableColumn id="29" name="H280" dataDxfId="178"/>
    <tableColumn id="30" name="H281" dataDxfId="177"/>
    <tableColumn id="31" name="H290" dataDxfId="176"/>
    <tableColumn id="32" name="H300" dataDxfId="175"/>
    <tableColumn id="33" name="H301" dataDxfId="174"/>
    <tableColumn id="34" name="H302" dataDxfId="173"/>
    <tableColumn id="35" name="H304" dataDxfId="172"/>
    <tableColumn id="36" name="H310" dataDxfId="171"/>
    <tableColumn id="37" name="H311" dataDxfId="170"/>
    <tableColumn id="38" name="H312" dataDxfId="169"/>
    <tableColumn id="39" name="H314" dataDxfId="168"/>
    <tableColumn id="40" name="H315" dataDxfId="167"/>
    <tableColumn id="41" name="H317" dataDxfId="166"/>
    <tableColumn id="42" name="H318" dataDxfId="165"/>
    <tableColumn id="43" name="H319" dataDxfId="164"/>
    <tableColumn id="44" name="H330" dataDxfId="163"/>
    <tableColumn id="45" name="H331" dataDxfId="162"/>
    <tableColumn id="46" name="H332" dataDxfId="161"/>
    <tableColumn id="47" name="H334" dataDxfId="160"/>
    <tableColumn id="48" name="H335" dataDxfId="159"/>
    <tableColumn id="49" name="H336" dataDxfId="158"/>
    <tableColumn id="50" name="H340" dataDxfId="157"/>
    <tableColumn id="51" name="H341" dataDxfId="156"/>
    <tableColumn id="52" name="H350" dataDxfId="155"/>
    <tableColumn id="53" name="H351" dataDxfId="154"/>
    <tableColumn id="54" name="H360" dataDxfId="153"/>
    <tableColumn id="55" name="H361" dataDxfId="152"/>
    <tableColumn id="56" name="H362" dataDxfId="151"/>
    <tableColumn id="57" name="H370" dataDxfId="150"/>
    <tableColumn id="58" name="H371" dataDxfId="149"/>
    <tableColumn id="59" name="H372" dataDxfId="148"/>
    <tableColumn id="60" name="H373" dataDxfId="147"/>
    <tableColumn id="61" name="H400" dataDxfId="146"/>
    <tableColumn id="62" name="H410" dataDxfId="145"/>
    <tableColumn id="63" name="H411" dataDxfId="144"/>
    <tableColumn id="64" name="H412" dataDxfId="143"/>
    <tableColumn id="65" name="H413" dataDxfId="142"/>
  </tableColumns>
  <tableStyleInfo name="TableStyleMedium2" showFirstColumn="0" showLastColumn="0" showRowStripes="1" showColumnStripes="0"/>
</table>
</file>

<file path=xl/tables/table4.xml><?xml version="1.0" encoding="utf-8"?>
<table xmlns="http://schemas.openxmlformats.org/spreadsheetml/2006/main" id="2" name="PhysChem_Table" displayName="PhysChem_Table" ref="A3:AI99" totalsRowShown="0" headerRowDxfId="141" dataDxfId="140">
  <autoFilter ref="A3:AI99"/>
  <tableColumns count="35">
    <tableColumn id="1" name="Marker name" dataDxfId="139"/>
    <tableColumn id="2" name="CAS" dataDxfId="138"/>
    <tableColumn id="3" name="State" dataDxfId="137"/>
    <tableColumn id="4" name="Colour" dataDxfId="136"/>
    <tableColumn id="5" name="MP (°C)" dataDxfId="135"/>
    <tableColumn id="6" name="MP Pressure (kPA)" dataDxfId="134"/>
    <tableColumn id="7" name="BP (°C)" dataDxfId="133"/>
    <tableColumn id="8" name="BP Pressure (kPA)" dataDxfId="132"/>
    <tableColumn id="9" name="Density (g/cm3)" dataDxfId="131"/>
    <tableColumn id="10" name="Density temp. (°C)" dataDxfId="130"/>
    <tableColumn id="11" name="particle size distribution" dataDxfId="129"/>
    <tableColumn id="12" name="VP Pressure (Pa)" dataDxfId="128"/>
    <tableColumn id="13" name="VP (°C)" dataDxfId="127"/>
    <tableColumn id="14" name="log Pow" dataDxfId="126"/>
    <tableColumn id="15" name="log POW temp (°C)" dataDxfId="125"/>
    <tableColumn id="16" name="SH2O (g/L)" dataDxfId="124"/>
    <tableColumn id="17" name="SH2O temp. (°C)" dataDxfId="123"/>
    <tableColumn id="34" name="Solvent" dataDxfId="122"/>
    <tableColumn id="18" name="SOS (g/L)" dataDxfId="121"/>
    <tableColumn id="19" name="SOS temp. (°C)" dataDxfId="120"/>
    <tableColumn id="20" name="surface tension (N/M)" dataDxfId="119"/>
    <tableColumn id="21" name="FP temp (°C)" dataDxfId="118"/>
    <tableColumn id="22" name="FP Pressure (kPa)" dataDxfId="117"/>
    <tableColumn id="23" name="auto fammability (Y/N)" dataDxfId="116"/>
    <tableColumn id="24" name="flammability" dataDxfId="115"/>
    <tableColumn id="25" name="explosiveness" dataDxfId="114"/>
    <tableColumn id="26" name="oxidising prop." dataDxfId="113"/>
    <tableColumn id="27" name="stability organic solvents" dataDxfId="112"/>
    <tableColumn id="28" name="storage stability" dataDxfId="111"/>
    <tableColumn id="29" name="stability: t, s, m" dataDxfId="110"/>
    <tableColumn id="30" name="ph" dataDxfId="109"/>
    <tableColumn id="31" name="dissociation constant" dataDxfId="108"/>
    <tableColumn id="33" name="Viscosity" dataDxfId="107"/>
    <tableColumn id="32" name="Source 1" dataDxfId="106"/>
    <tableColumn id="36" name="Source 2" dataDxfId="105"/>
  </tableColumns>
  <tableStyleInfo name="TableStyleMedium2" showFirstColumn="0" showLastColumn="0" showRowStripes="1" showColumnStripes="0"/>
</table>
</file>

<file path=xl/tables/table5.xml><?xml version="1.0" encoding="utf-8"?>
<table xmlns="http://schemas.openxmlformats.org/spreadsheetml/2006/main" id="4" name="Table4" displayName="Table4" ref="A4:AV306" totalsRowShown="0" headerRowDxfId="104" dataDxfId="103">
  <autoFilter ref="A4:AV306"/>
  <tableColumns count="48">
    <tableColumn id="1" name="Marker name" dataDxfId="102"/>
    <tableColumn id="2" name="CAS" dataDxfId="101"/>
    <tableColumn id="59" name="Method" dataDxfId="100">
      <calculatedColumnFormula>VLOOKUP(Table4[[#This Row],[Marker name]],BaseInfos_Table[#All],6,FALSE)</calculatedColumnFormula>
    </tableColumn>
    <tableColumn id="72" name="Spectrum" dataDxfId="99"/>
    <tableColumn id="75" name="Solvent" dataDxfId="98"/>
    <tableColumn id="73" name="Peaks" dataDxfId="97"/>
    <tableColumn id="65" name="nm" dataDxfId="96">
      <calculatedColumnFormula>(1*10^7)/Table4[[#This Row],[cm-1]]</calculatedColumnFormula>
    </tableColumn>
    <tableColumn id="66" name="cm-1" dataDxfId="95"/>
    <tableColumn id="77" name="nm6" dataDxfId="94">
      <calculatedColumnFormula>(1*10^7)/Table4[[#This Row],[cm-2]]</calculatedColumnFormula>
    </tableColumn>
    <tableColumn id="76" name="cm-2" dataDxfId="93"/>
    <tableColumn id="79" name="nm7" dataDxfId="92">
      <calculatedColumnFormula>(1*10^7)/Table4[[#This Row],[cm-3]]</calculatedColumnFormula>
    </tableColumn>
    <tableColumn id="78" name="cm-3" dataDxfId="91"/>
    <tableColumn id="67" name="Source" dataDxfId="90"/>
    <tableColumn id="60" name="nm3" dataDxfId="89"/>
    <tableColumn id="5" name="cm-13" dataDxfId="88"/>
    <tableColumn id="62" name="Peaks4" dataDxfId="87"/>
    <tableColumn id="6" name="nm2" dataDxfId="86"/>
    <tableColumn id="63" name="cm-12" dataDxfId="85">
      <calculatedColumnFormula>(1*10^7)/Table4[[#This Row],[nm2]]</calculatedColumnFormula>
    </tableColumn>
    <tableColumn id="10" name="nm12" dataDxfId="84"/>
    <tableColumn id="9" name="cm-124" dataDxfId="83">
      <calculatedColumnFormula>(1*10^7)/Table4[[#This Row],[nm12]]</calculatedColumnFormula>
    </tableColumn>
    <tableColumn id="4" name="nm13" dataDxfId="82"/>
    <tableColumn id="3" name="cm-122" dataDxfId="81"/>
    <tableColumn id="61" name="Source2" dataDxfId="80"/>
    <tableColumn id="7" name="%" dataDxfId="79"/>
    <tableColumn id="8" name="keV5" dataDxfId="78"/>
    <tableColumn id="11" name="Peaks2" dataDxfId="77"/>
    <tableColumn id="68" name="nm5" dataDxfId="76"/>
    <tableColumn id="71" name="cm-14" dataDxfId="75">
      <calculatedColumnFormula>(1/Table4[[#This Row],[nm5]])*10^7</calculatedColumnFormula>
    </tableColumn>
    <tableColumn id="83" name="nm8" dataDxfId="74"/>
    <tableColumn id="82" name="cm-144" dataDxfId="73">
      <calculatedColumnFormula>(1/Table4[[#This Row],[nm8]])*10^7</calculatedColumnFormula>
    </tableColumn>
    <tableColumn id="81" name="nm9" dataDxfId="72"/>
    <tableColumn id="80" name="cm-142" dataDxfId="71">
      <calculatedColumnFormula>(1/Table4[[#This Row],[nm9]])*10^7</calculatedColumnFormula>
    </tableColumn>
    <tableColumn id="70" name="Source3" dataDxfId="70"/>
    <tableColumn id="13" name="nm4" dataDxfId="69"/>
    <tableColumn id="88" name="cm-15" dataDxfId="68">
      <calculatedColumnFormula>(1/Table4[[#This Row],[nm4]])*10^7</calculatedColumnFormula>
    </tableColumn>
    <tableColumn id="69" name="nm14" dataDxfId="67"/>
    <tableColumn id="64" name="cm-16" dataDxfId="66">
      <calculatedColumnFormula>(1/Table4[[#This Row],[nm14]])*10^7</calculatedColumnFormula>
    </tableColumn>
    <tableColumn id="12" name="Peaks3" dataDxfId="65"/>
    <tableColumn id="14" name="nm28" dataDxfId="64"/>
    <tableColumn id="15" name="cm-129" dataDxfId="63">
      <calculatedColumnFormula>(1/Table4[[#This Row],[nm28]])*10^7</calculatedColumnFormula>
    </tableColumn>
    <tableColumn id="87" name="nm10" dataDxfId="62"/>
    <tableColumn id="86" name="cm-1293" dataDxfId="61">
      <calculatedColumnFormula>(1/Table4[[#This Row],[nm10]])*10^7</calculatedColumnFormula>
    </tableColumn>
    <tableColumn id="85" name="nm11" dataDxfId="60"/>
    <tableColumn id="84" name="cm-130" dataDxfId="59">
      <calculatedColumnFormula>(1/Table4[[#This Row],[nm11]])*10^7</calculatedColumnFormula>
    </tableColumn>
    <tableColumn id="16" name="Source210" dataDxfId="58"/>
    <tableColumn id="17" name="%11" dataDxfId="57">
      <calculatedColumnFormula>Table4[[#This Row],[Φ]]*100</calculatedColumnFormula>
    </tableColumn>
    <tableColumn id="74" name="Φ" dataDxfId="56"/>
    <tableColumn id="18" name="Source312" dataDxfId="55"/>
  </tableColumns>
  <tableStyleInfo name="TableStyleMedium2" showFirstColumn="0" showLastColumn="0" showRowStripes="1" showColumnStripes="0"/>
</table>
</file>

<file path=xl/tables/table6.xml><?xml version="1.0" encoding="utf-8"?>
<table xmlns="http://schemas.openxmlformats.org/spreadsheetml/2006/main" id="6" name="Ecotox_Table" displayName="Ecotox_Table" ref="A3:AI99" totalsRowShown="0" headerRowDxfId="54" dataDxfId="53">
  <autoFilter ref="A3:AI99"/>
  <tableColumns count="35">
    <tableColumn id="1" name="Marker name" dataDxfId="52"/>
    <tableColumn id="2" name="CAS" dataDxfId="51"/>
    <tableColumn id="3" name="Hazard Freshwater (PNEC ug/L)" dataDxfId="50"/>
    <tableColumn id="4" name="Hazard Marine water (PNEC ug /L)" dataDxfId="49"/>
    <tableColumn id="5" name="Hazard STP (PNEC ug/L)" dataDxfId="48"/>
    <tableColumn id="6" name="Hazard Sediment (freshwater) (PNEC mg/kg dw)" dataDxfId="47"/>
    <tableColumn id="7" name="hazard Sediment (marine water) (PNEC mg/kg dw)" dataDxfId="46"/>
    <tableColumn id="8" name="Hazard Air (PNEC mg/kg dw)" dataDxfId="45"/>
    <tableColumn id="9" name="Hazard terrestrial (PNEC mg/kg dw)" dataDxfId="44"/>
    <tableColumn id="10" name="Hazard Bioacc. (PNEC mg/kg dw)" dataDxfId="43"/>
    <tableColumn id="11" name="Short-term toxicity to fish (EC 50 ug/L)" dataDxfId="42"/>
    <tableColumn id="30" name="Short-term toxicity to fish (EC10 ug/L)" dataDxfId="41"/>
    <tableColumn id="12" name="Long-term toxicity to fish (EC50 ug/L)" dataDxfId="40"/>
    <tableColumn id="31" name="Long-term toxicity to fish (EC10 ug/L)" dataDxfId="39"/>
    <tableColumn id="13" name="short term tox.- aqu. Invertebrates (EC50 ug/L)" dataDxfId="38"/>
    <tableColumn id="32" name="short term tox.- aqu. Invertebrates (EC10 ug/L)" dataDxfId="37"/>
    <tableColumn id="14" name="long term. Tox. Aqu. Invertebrates (EC50 ug/L)" dataDxfId="36"/>
    <tableColumn id="33" name="long term. Tox. Aqu. Invertebrates (EC10 ug/L)" dataDxfId="35"/>
    <tableColumn id="15" name="tox. To aquatic algae/cyanobac. (EC50 ug/L)" dataDxfId="34"/>
    <tableColumn id="34" name="tox. To aquatic algae/cyanobac. (EC10 ug/L)" dataDxfId="33"/>
    <tableColumn id="16" name="tox to plants other than algae" dataDxfId="32"/>
    <tableColumn id="17" name="tox to microorg. (EC50 ug/L)" dataDxfId="31"/>
    <tableColumn id="35" name="tox to microorg. (EC10 ug/L)" dataDxfId="30"/>
    <tableColumn id="18" name="endocrine disruper testing aqu." dataDxfId="29"/>
    <tableColumn id="19" name="toxicity to other aqu. Organisms" dataDxfId="28"/>
    <tableColumn id="20" name="NOEC (mg/kg)" dataDxfId="27"/>
    <tableColumn id="21" name="Tox. To soil macroorg. Except arthropods (ug /kg)" dataDxfId="26"/>
    <tableColumn id="22" name="tox to terrestrial arthropods" dataDxfId="25"/>
    <tableColumn id="23" name="tox. to terrestrial plants" dataDxfId="24"/>
    <tableColumn id="24" name="tox to soil microorg." dataDxfId="23"/>
    <tableColumn id="25" name="tox. To birds" dataDxfId="22"/>
    <tableColumn id="26" name="tox to other above ground organisms" dataDxfId="21"/>
    <tableColumn id="27" name="Column2" dataDxfId="20"/>
    <tableColumn id="28" name="Column3" dataDxfId="19"/>
    <tableColumn id="29" name="Column4" dataDxfId="18"/>
  </tableColumns>
  <tableStyleInfo name="TableStyleMedium2" showFirstColumn="0" showLastColumn="0" showRowStripes="1" showColumnStripes="0"/>
</table>
</file>

<file path=xl/tables/table7.xml><?xml version="1.0" encoding="utf-8"?>
<table xmlns="http://schemas.openxmlformats.org/spreadsheetml/2006/main" id="8" name="Tox_table" displayName="Tox_table" ref="A2:P99" totalsRowShown="0" headerRowDxfId="17" dataDxfId="16">
  <autoFilter ref="A2:P99"/>
  <tableColumns count="16">
    <tableColumn id="1" name="Marker name" dataDxfId="15"/>
    <tableColumn id="2" name="CAS" dataDxfId="14"/>
    <tableColumn id="3" name="Workers Inhalation DNEL (mg/m3)" dataDxfId="13"/>
    <tableColumn id="4" name="Workers Inhalation hazard" dataDxfId="12"/>
    <tableColumn id="5" name="Workers Dermal DNEL (mg/kg bw/day)" dataDxfId="11"/>
    <tableColumn id="6" name="Workers Dermal Hazard" dataDxfId="10"/>
    <tableColumn id="7" name="Workers Eyes DNEL" dataDxfId="9"/>
    <tableColumn id="8" name="Workers Eyes Hazard" dataDxfId="8"/>
    <tableColumn id="9" name="Gen. Pop. Inhalation DNEL (mg/m3)" dataDxfId="7"/>
    <tableColumn id="10" name="Gen. Pop. Inhalation Hazard" dataDxfId="6"/>
    <tableColumn id="11" name="Gen. Pop. Dermal DNEL (mg/kg bw/day)" dataDxfId="5"/>
    <tableColumn id="12" name="Gen. Pop. Dermal Hazard" dataDxfId="4"/>
    <tableColumn id="13" name="Gen. Pop. oral DNEL (mg/kg bw/day)" dataDxfId="3"/>
    <tableColumn id="14" name="Gen. Pop. oral Hazard" dataDxfId="2"/>
    <tableColumn id="15" name="Gen. Pop. eye DNEL" dataDxfId="1"/>
    <tableColumn id="16" name="Gen. Pop. eye Hazard"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X2" dT="2021-12-01T13:33:59.62" personId="{F57AC6CD-5AF2-4A4B-9A4F-5F3F13A26191}" id="{026F65DB-B8C7-4692-85E1-E81EE3516948}">
    <text>D50????</text>
  </threadedComment>
</ThreadedComments>
</file>

<file path=xl/threadedComments/threadedComment2.xml><?xml version="1.0" encoding="utf-8"?>
<ThreadedComments xmlns="http://schemas.microsoft.com/office/spreadsheetml/2018/threadedcomments" xmlns:x="http://schemas.openxmlformats.org/spreadsheetml/2006/main">
  <threadedComment ref="H19" dT="2021-12-13T11:12:09.17" personId="{F57AC6CD-5AF2-4A4B-9A4F-5F3F13A26191}" id="{60061165-2AD9-452C-8803-4AF020CF8304}">
    <text>pre registration progress</text>
  </threadedComment>
  <threadedComment ref="C38" dT="2022-01-12T12:52:14.18" personId="{5BCE4D06-E233-49A4-8985-DC99CC2D22C6}" id="{DE776FE6-0A2C-4A35-91E0-BE5F1A843EB0}">
    <text>Also CAS for Y2O3...</text>
  </threadedComment>
</ThreadedComments>
</file>

<file path=xl/threadedComments/threadedComment3.xml><?xml version="1.0" encoding="utf-8"?>
<ThreadedComments xmlns="http://schemas.microsoft.com/office/spreadsheetml/2018/threadedcomments" xmlns:x="http://schemas.openxmlformats.org/spreadsheetml/2006/main">
  <threadedComment ref="D32" dT="2021-12-28T09:24:13.86" personId="{F57AC6CD-5AF2-4A4B-9A4F-5F3F13A26191}" id="{293E7D9F-52A6-44ED-808C-2F66D6224758}">
    <text>Registration said no classification but it is mentioned in the dossier</text>
  </threadedComment>
</ThreadedComments>
</file>

<file path=xl/threadedComments/threadedComment4.xml><?xml version="1.0" encoding="utf-8"?>
<ThreadedComments xmlns="http://schemas.microsoft.com/office/spreadsheetml/2018/threadedcomments" xmlns:x="http://schemas.openxmlformats.org/spreadsheetml/2006/main">
  <threadedComment ref="K2" dT="2021-12-01T13:33:59.62" personId="{F57AC6CD-5AF2-4A4B-9A4F-5F3F13A26191}" id="{A9EA5A4E-0CDE-4550-9C26-FE94A87DD793}">
    <text>D50????</text>
  </threadedComment>
  <threadedComment ref="P4" dT="2021-12-06T10:53:54.52" personId="{F57AC6CD-5AF2-4A4B-9A4F-5F3F13A26191}" id="{DE93A940-5E4F-465B-90B0-075222311BFC}">
    <text>&lt;0.01</text>
  </threadedComment>
  <threadedComment ref="P5" dT="2021-12-06T10:53:54.52" personId="{F57AC6CD-5AF2-4A4B-9A4F-5F3F13A26191}" id="{C9F1F071-B77E-4AE7-A903-8CA16F34B565}">
    <text>&lt;0.01</text>
  </threadedComment>
  <threadedComment ref="E6" dT="2021-12-06T10:52:12.96" personId="{F57AC6CD-5AF2-4A4B-9A4F-5F3F13A26191}" id="{BBB46CF5-E5C4-473F-B78A-299715959295}">
    <text>&gt;400</text>
  </threadedComment>
  <threadedComment ref="G6" dT="2021-12-06T10:52:12.96" personId="{F57AC6CD-5AF2-4A4B-9A4F-5F3F13A26191}" id="{96AB692D-2611-45E6-A36C-D123F11AFF58}">
    <text>&gt;400</text>
  </threadedComment>
  <threadedComment ref="P6" dT="2021-12-06T10:53:54.52" personId="{F57AC6CD-5AF2-4A4B-9A4F-5F3F13A26191}" id="{FBF7F287-9356-42A7-9CFA-45EEE58F6F72}">
    <text>&lt;0.01</text>
  </threadedComment>
  <threadedComment ref="E7" dT="2021-12-06T10:52:12.96" personId="{F57AC6CD-5AF2-4A4B-9A4F-5F3F13A26191}" id="{4D046CB8-1C47-44C5-B2ED-EDE9F327CE2E}">
    <text>&gt;400</text>
  </threadedComment>
  <threadedComment ref="G7" dT="2021-12-06T10:52:12.96" personId="{F57AC6CD-5AF2-4A4B-9A4F-5F3F13A26191}" id="{45F48B69-0D21-4A0F-BAF7-7D070360B99D}">
    <text>&gt;400</text>
  </threadedComment>
  <threadedComment ref="E9" dT="2021-12-06T10:52:35.44" personId="{F57AC6CD-5AF2-4A4B-9A4F-5F3F13A26191}" id="{AE870EF5-5C90-44D4-82BC-DBC1D196D8FE}">
    <text>&gt;600</text>
  </threadedComment>
  <threadedComment ref="E10" dT="2021-12-06T10:52:35.44" personId="{F57AC6CD-5AF2-4A4B-9A4F-5F3F13A26191}" id="{2BBA3238-BC23-4EC2-92F5-D58843CEF37B}">
    <text>&gt;600</text>
  </threadedComment>
  <threadedComment ref="E17" dT="2021-12-06T10:52:55.31" personId="{F57AC6CD-5AF2-4A4B-9A4F-5F3F13A26191}" id="{CDB29F0E-36D1-42CF-8E89-93F83C84B221}">
    <text>&gt;500</text>
  </threadedComment>
  <threadedComment ref="E18" dT="2021-12-06T10:52:55.31" personId="{F57AC6CD-5AF2-4A4B-9A4F-5F3F13A26191}" id="{09E7E550-344A-4692-AD2F-262C9FAB0D00}">
    <text>&gt;500</text>
  </threadedComment>
  <threadedComment ref="N18" dT="2021-12-06T11:52:41.82" personId="{F57AC6CD-5AF2-4A4B-9A4F-5F3F13A26191}" id="{EBCFE956-B08C-40C1-8054-77CA5F51DF5E}">
    <text>&lt;1.3</text>
  </threadedComment>
  <threadedComment ref="P18" dT="2021-12-06T11:54:11.01" personId="{F57AC6CD-5AF2-4A4B-9A4F-5F3F13A26191}" id="{C0EAAA04-065A-4495-A119-F8A8A37559E8}">
    <text>&lt;5 ug/L</text>
  </threadedComment>
  <threadedComment ref="E19" dT="2022-01-24T10:27:11.21" personId="{5BCE4D06-E233-49A4-8985-DC99CC2D22C6}" id="{AEA0D749-4069-4CFE-90FA-ECBB54AF1734}">
    <text>&gt;360</text>
  </threadedComment>
  <threadedComment ref="E22" dT="2021-12-14T10:37:17.33" personId="{F57AC6CD-5AF2-4A4B-9A4F-5F3F13A26191}" id="{6E316927-CD01-4225-A258-1DEB61D4E414}">
    <text>&gt;400</text>
  </threadedComment>
  <threadedComment ref="P22" dT="2021-12-14T10:42:46.94" personId="{F57AC6CD-5AF2-4A4B-9A4F-5F3F13A26191}" id="{0F703AD2-3D64-4343-9E44-14DEE6F8ABAC}">
    <text>new data suggests cnts to be completey insoluble</text>
  </threadedComment>
  <threadedComment ref="A28" dT="2022-01-25T12:54:14.32" personId="{5BCE4D06-E233-49A4-8985-DC99CC2D22C6}" id="{90FAE016-0850-4AC4-8573-FEAD633F30F5}">
    <text>Phys-Chem Parameter origin from the core/shell material so QDs may exhibit differences</text>
  </threadedComment>
  <threadedComment ref="A29" dT="2022-01-25T12:54:22.55" personId="{5BCE4D06-E233-49A4-8985-DC99CC2D22C6}" id="{4976A61E-9639-4E4F-9EE7-38E265FA127C}">
    <text>Phys-Chem Parameter origin from the core/shell material so QDs may exhibit differences</text>
  </threadedComment>
  <threadedComment ref="E30" dT="2021-12-28T12:11:17.64" personId="{F57AC6CD-5AF2-4A4B-9A4F-5F3F13A26191}" id="{EBF0E132-3FB9-46B0-B68F-2F29823AD32A}">
    <text>experimental: &gt;400, literature: &gt;2300</text>
  </threadedComment>
  <threadedComment ref="E33" dT="2021-12-28T09:24:26.83" personId="{F57AC6CD-5AF2-4A4B-9A4F-5F3F13A26191}" id="{3055126C-BF51-4068-BDA6-B3879BD95942}">
    <text>&gt;600</text>
  </threadedComment>
  <threadedComment ref="E34" dT="2021-12-29T10:27:32.20" personId="{F57AC6CD-5AF2-4A4B-9A4F-5F3F13A26191}" id="{B85D5BED-9EFD-4DD2-AB97-CAD1C993D812}">
    <text>&gt;400°C</text>
  </threadedComment>
  <threadedComment ref="G34" dT="2021-12-29T10:28:04.74" personId="{F57AC6CD-5AF2-4A4B-9A4F-5F3F13A26191}" id="{18455B9F-67B8-4BF6-8753-D61A4900C845}">
    <text>&gt;400</text>
  </threadedComment>
  <threadedComment ref="I50" dT="2022-01-25T13:10:13.77" personId="{5BCE4D06-E233-49A4-8985-DC99CC2D22C6}" id="{E4FBBF31-AE38-448E-9FF1-71D4276A7828}">
    <text>g/ml in Source</text>
  </threadedComment>
  <threadedComment ref="S50" dT="2022-05-24T13:17:42.90" personId="{5BCE4D06-E233-49A4-8985-DC99CC2D22C6}" id="{EF88BD8A-766D-4CAA-A0C8-B891241C6C6F}">
    <text>100 mM in DMSO, molecular weight: 253.25</text>
  </threadedComment>
  <threadedComment ref="E74" dT="2022-02-01T11:10:48.91" personId="{5BCE4D06-E233-49A4-8985-DC99CC2D22C6}" id="{23E4CF6C-C764-43C2-9E1A-416D69E4F6CE}">
    <text>&gt; 1440</text>
  </threadedComment>
  <threadedComment ref="P76" dT="2022-02-17T08:04:02.72" personId="{5BCE4D06-E233-49A4-8985-DC99CC2D22C6}" id="{DD72BE8E-69F0-4E81-B1DB-A397C52D9883}">
    <text>&gt;0.000001</text>
  </threadedComment>
  <threadedComment ref="P79" dT="2022-02-17T08:25:01.89" personId="{5BCE4D06-E233-49A4-8985-DC99CC2D22C6}" id="{71C684BD-316B-482F-AE0B-37B97685DA32}">
    <text>&gt;0.000001</text>
  </threadedComment>
  <threadedComment ref="E81" dT="2022-02-21T12:25:58.67" personId="{5BCE4D06-E233-49A4-8985-DC99CC2D22C6}" id="{373F3BD8-3FBE-446A-AD10-4C7FD7C95483}">
    <text>brown paste including water and other solvents</text>
  </threadedComment>
  <threadedComment ref="X81" dT="2022-02-21T12:46:23.41" personId="{5BCE4D06-E233-49A4-8985-DC99CC2D22C6}" id="{C365B0A1-5C38-41DC-B113-DC8FF13D8E8C}">
    <text>don t heat above 160°C</text>
  </threadedComment>
  <threadedComment ref="P82" dT="2022-02-21T11:53:14.91" personId="{5BCE4D06-E233-49A4-8985-DC99CC2D22C6}" id="{1A6D68AC-AEC9-4DFF-A43F-6DC2DCBBFFA4}">
    <text>&lt; 0.0001 g/ml</text>
  </threadedComment>
</ThreadedComments>
</file>

<file path=xl/threadedComments/threadedComment5.xml><?xml version="1.0" encoding="utf-8"?>
<ThreadedComments xmlns="http://schemas.microsoft.com/office/spreadsheetml/2018/threadedcomments" xmlns:x="http://schemas.openxmlformats.org/spreadsheetml/2006/main">
  <threadedComment ref="AI37" dT="2022-01-10T09:58:59.47" personId="{5BCE4D06-E233-49A4-8985-DC99CC2D22C6}" id="{92CDF752-6DEC-48A4-A9B8-821BB0EF5AE4}">
    <text>525 nm also possible for the same peak</text>
  </threadedComment>
</ThreadedComments>
</file>

<file path=xl/threadedComments/threadedComment6.xml><?xml version="1.0" encoding="utf-8"?>
<ThreadedComments xmlns="http://schemas.microsoft.com/office/spreadsheetml/2018/threadedcomments" xmlns:x="http://schemas.openxmlformats.org/spreadsheetml/2006/main">
  <threadedComment ref="V4" dT="2021-12-01T13:34:37.55" personId="{F57AC6CD-5AF2-4A4B-9A4F-5F3F13A26191}" id="{D498C45B-0AF4-410E-BB4B-E2AFA0035E80}">
    <text>Text states 3.35 mg/L to 6.83 mg/L but uses 6.83 mg/L for safety assessment</text>
  </threadedComment>
  <threadedComment ref="V22" dT="2021-12-15T08:38:57.16" personId="{F57AC6CD-5AF2-4A4B-9A4F-5F3F13A26191}" id="{06C02392-775D-4C66-B92A-40CE11D54262}">
    <text>EC30</text>
  </threadedComment>
</ThreadedComments>
</file>

<file path=xl/threadedComments/threadedComment7.xml><?xml version="1.0" encoding="utf-8"?>
<ThreadedComments xmlns="http://schemas.microsoft.com/office/spreadsheetml/2018/threadedcomments" xmlns:x="http://schemas.openxmlformats.org/spreadsheetml/2006/main">
  <threadedComment ref="E8" dT="2021-12-02T13:37:48.53" personId="{F57AC6CD-5AF2-4A4B-9A4F-5F3F13A26191}" id="{8FA9BDD7-AF97-41D0-9726-25F7FB1E871A}">
    <text>NOEL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table" Target="../tables/table7.xml"/><Relationship Id="rId1" Type="http://schemas.openxmlformats.org/officeDocument/2006/relationships/vmlDrawing" Target="../drawings/vmlDrawing7.vml"/><Relationship Id="rId4" Type="http://schemas.microsoft.com/office/2017/10/relationships/threadedComment" Target="../threadedComments/threadedComment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6" Type="http://schemas.openxmlformats.org/officeDocument/2006/relationships/hyperlink" Target="https://echa.europa.eu/de/substance-information/-/substanceinfo/100.242.364" TargetMode="External"/><Relationship Id="rId21" Type="http://schemas.openxmlformats.org/officeDocument/2006/relationships/hyperlink" Target="https://echa.europa.eu/de/substance-information/-/substanceinfo/100.020.039" TargetMode="External"/><Relationship Id="rId42" Type="http://schemas.openxmlformats.org/officeDocument/2006/relationships/hyperlink" Target="https://echa.europa.eu/de/substance-information/-/substanceinfo/100.013.819" TargetMode="External"/><Relationship Id="rId47" Type="http://schemas.openxmlformats.org/officeDocument/2006/relationships/hyperlink" Target="https://echa.europa.eu/de/substance-information/-/substanceinfo/100.243.235" TargetMode="External"/><Relationship Id="rId63" Type="http://schemas.openxmlformats.org/officeDocument/2006/relationships/hyperlink" Target="https://www.sigmaaldrich.com/AT/de/product/aldrich/590509" TargetMode="External"/><Relationship Id="rId68" Type="http://schemas.openxmlformats.org/officeDocument/2006/relationships/hyperlink" Target="https://echa.europa.eu/de/substance-information/-/substanceinfo/100.151.173" TargetMode="External"/><Relationship Id="rId84" Type="http://schemas.openxmlformats.org/officeDocument/2006/relationships/hyperlink" Target="https://www.sigmaaldrich.com/AT/de/substance/zincoxide81391314132" TargetMode="External"/><Relationship Id="rId89" Type="http://schemas.openxmlformats.org/officeDocument/2006/relationships/hyperlink" Target="https://www.sigmaaldrich.com/AT/de/substance/grapheneoxide1234598765" TargetMode="External"/><Relationship Id="rId16" Type="http://schemas.openxmlformats.org/officeDocument/2006/relationships/hyperlink" Target="https://echa.europa.eu/de/substance-information/-/substanceinfo/100.004.461" TargetMode="External"/><Relationship Id="rId11" Type="http://schemas.openxmlformats.org/officeDocument/2006/relationships/hyperlink" Target="https://www.sigmaaldrich.com/AT/en/search/1314-36-9?focus=products&amp;page=1&amp;perPage=30&amp;sort=relevance&amp;term=1314-36-9&amp;type=product" TargetMode="External"/><Relationship Id="rId32" Type="http://schemas.openxmlformats.org/officeDocument/2006/relationships/hyperlink" Target="https://www.sigmaaldrich.com/AT/en/product/aldrich/642339" TargetMode="External"/><Relationship Id="rId37" Type="http://schemas.openxmlformats.org/officeDocument/2006/relationships/hyperlink" Target="https://www.sigmaaldrich.com/AT/de/substance/pbscoretypequantumdots2392798765" TargetMode="External"/><Relationship Id="rId53" Type="http://schemas.openxmlformats.org/officeDocument/2006/relationships/hyperlink" Target="https://www.echa.europa.eu/de/web/guest/substance-information/-/substanceinfo/100.013.793" TargetMode="External"/><Relationship Id="rId58" Type="http://schemas.openxmlformats.org/officeDocument/2006/relationships/hyperlink" Target="https://echa.europa.eu/de/substance-information/-/substanceinfo/100.031.845" TargetMode="External"/><Relationship Id="rId74" Type="http://schemas.openxmlformats.org/officeDocument/2006/relationships/hyperlink" Target="https://www.americanelements.com/yttrium-silicate-12027-88-2" TargetMode="External"/><Relationship Id="rId79" Type="http://schemas.openxmlformats.org/officeDocument/2006/relationships/hyperlink" Target="https://echa.europa.eu/de/substance-information/-/substanceinfo/100.031.853" TargetMode="External"/><Relationship Id="rId5" Type="http://schemas.openxmlformats.org/officeDocument/2006/relationships/hyperlink" Target="https://echa.europa.eu/de/substance-information/-/substanceinfo/100.013.832" TargetMode="External"/><Relationship Id="rId90" Type="http://schemas.openxmlformats.org/officeDocument/2006/relationships/hyperlink" Target="https://echa.europa.eu/de/substance-information/-/substanceinfo/100.157.949" TargetMode="External"/><Relationship Id="rId95" Type="http://schemas.openxmlformats.org/officeDocument/2006/relationships/vmlDrawing" Target="../drawings/vmlDrawing2.vml"/><Relationship Id="rId22" Type="http://schemas.openxmlformats.org/officeDocument/2006/relationships/hyperlink" Target="https://www.sigmaaldrich.com/AT/en/search/3599-32-4?focus=products&amp;page=1&amp;perPage=30&amp;sort=relevance&amp;term=3599-32-4&amp;type=product" TargetMode="External"/><Relationship Id="rId27" Type="http://schemas.openxmlformats.org/officeDocument/2006/relationships/hyperlink" Target="https://www.sigmaaldrich.com/AT/en/substance/carbonnanotubesinglewalled12345308068566" TargetMode="External"/><Relationship Id="rId43" Type="http://schemas.openxmlformats.org/officeDocument/2006/relationships/hyperlink" Target="https://echa.europa.eu/de/substance-information/-/substanceinfo/100.031.676" TargetMode="External"/><Relationship Id="rId48" Type="http://schemas.openxmlformats.org/officeDocument/2006/relationships/hyperlink" Target="https://echa.europa.eu/de/substance-information/-/substanceinfo/100.243.546" TargetMode="External"/><Relationship Id="rId64" Type="http://schemas.openxmlformats.org/officeDocument/2006/relationships/hyperlink" Target="https://echa.europa.eu/de/substance-information/-/substanceinfo/100.031.675" TargetMode="External"/><Relationship Id="rId69" Type="http://schemas.openxmlformats.org/officeDocument/2006/relationships/hyperlink" Target="https://www.sigmaaldrich.com/AT/de/product/astatechinc/ateh95e592bd?context=bbe" TargetMode="External"/><Relationship Id="rId80" Type="http://schemas.openxmlformats.org/officeDocument/2006/relationships/hyperlink" Target="https://echa.europa.eu/de/substance-information/-/substanceinfo/100.014.292" TargetMode="External"/><Relationship Id="rId85" Type="http://schemas.openxmlformats.org/officeDocument/2006/relationships/hyperlink" Target="https://echa.europa.eu/de/substance-information/-/substanceinfo/100.013.839" TargetMode="External"/><Relationship Id="rId3" Type="http://schemas.openxmlformats.org/officeDocument/2006/relationships/hyperlink" Target="https://echa.europa.eu/de/substance-information/-/substanceinfo/100.013.774" TargetMode="External"/><Relationship Id="rId12" Type="http://schemas.openxmlformats.org/officeDocument/2006/relationships/hyperlink" Target="https://www.sigmaaldrich.com/AT/en/search/1313-97-9?focus=products&amp;page=1&amp;perPage=30&amp;sort=relevance&amp;term=1313-97-9&amp;type=product" TargetMode="External"/><Relationship Id="rId17" Type="http://schemas.openxmlformats.org/officeDocument/2006/relationships/hyperlink" Target="https://echa.europa.eu/de/substance-information/-/substanceinfo/100.012.618" TargetMode="External"/><Relationship Id="rId25" Type="http://schemas.openxmlformats.org/officeDocument/2006/relationships/hyperlink" Target="https://www.sigmaaldrich.com/AT/en/search/61-73-4?focus=products&amp;page=1&amp;perPage=30&amp;sort=relevance&amp;term=61-73-4&amp;type=product" TargetMode="External"/><Relationship Id="rId33" Type="http://schemas.openxmlformats.org/officeDocument/2006/relationships/hyperlink" Target="https://www.sigmaaldrich.com/AT/en/product/aldrich/543349" TargetMode="External"/><Relationship Id="rId38" Type="http://schemas.openxmlformats.org/officeDocument/2006/relationships/hyperlink" Target="https://www.sigmaaldrich.com/AT/en/search/1312-81-8?focus=products&amp;page=1&amp;perPage=30&amp;sort=relevance&amp;term=1312-81-8&amp;type=product" TargetMode="External"/><Relationship Id="rId46" Type="http://schemas.openxmlformats.org/officeDocument/2006/relationships/hyperlink" Target="https://echa.europa.eu/de/substance-information/-/substanceinfo/100.206.686" TargetMode="External"/><Relationship Id="rId59" Type="http://schemas.openxmlformats.org/officeDocument/2006/relationships/hyperlink" Target="https://echa.europa.eu/de/substance-information/-/substanceinfo/100.065.273" TargetMode="External"/><Relationship Id="rId67" Type="http://schemas.openxmlformats.org/officeDocument/2006/relationships/hyperlink" Target="https://www.sigmaaldrich.com/AT/de/product/aldrich/150215" TargetMode="External"/><Relationship Id="rId20" Type="http://schemas.openxmlformats.org/officeDocument/2006/relationships/hyperlink" Target="https://www.sigmaaldrich.com/AT/en/search/3326-32-7?focus=products&amp;page=1&amp;perPage=30&amp;sort=relevance&amp;term=3326-32-7&amp;type=product" TargetMode="External"/><Relationship Id="rId41" Type="http://schemas.openxmlformats.org/officeDocument/2006/relationships/hyperlink" Target="https://www.sigmaaldrich.com/AT/en/search/1314-37-0?focus=products&amp;page=1&amp;perPage=30&amp;sort=relevance&amp;term=1314-37-0&amp;type=product" TargetMode="External"/><Relationship Id="rId54" Type="http://schemas.openxmlformats.org/officeDocument/2006/relationships/hyperlink" Target="https://www.sigmaaldrich.com/AT/de/product/aldrich/549649" TargetMode="External"/><Relationship Id="rId62" Type="http://schemas.openxmlformats.org/officeDocument/2006/relationships/hyperlink" Target="https://www.sigmaaldrich.com/AT/de/substance/terbiumiiiivoxide7477012037013" TargetMode="External"/><Relationship Id="rId70" Type="http://schemas.openxmlformats.org/officeDocument/2006/relationships/hyperlink" Target="https://echa.europa.eu/de/substance-information/-/substanceinfo/100.228.829" TargetMode="External"/><Relationship Id="rId75" Type="http://schemas.openxmlformats.org/officeDocument/2006/relationships/hyperlink" Target="https://www.sigmaaldrich.com/AT/de/product/aldrich/634638" TargetMode="External"/><Relationship Id="rId83" Type="http://schemas.openxmlformats.org/officeDocument/2006/relationships/hyperlink" Target="https://www.sigmaaldrich.com/AT/de/substance/ironoxideiiiiimagneticnanoparticlessolution231531317619" TargetMode="External"/><Relationship Id="rId88" Type="http://schemas.openxmlformats.org/officeDocument/2006/relationships/hyperlink" Target="https://www.sigmaaldrich.com/AT/de/substance/graphenequantumdots123457440440" TargetMode="External"/><Relationship Id="rId91" Type="http://schemas.openxmlformats.org/officeDocument/2006/relationships/hyperlink" Target="https://echa.europa.eu/de/substance-information/-/substanceinfo/100.260.251" TargetMode="External"/><Relationship Id="rId96" Type="http://schemas.openxmlformats.org/officeDocument/2006/relationships/table" Target="../tables/table2.xml"/><Relationship Id="rId1" Type="http://schemas.openxmlformats.org/officeDocument/2006/relationships/hyperlink" Target="https://echa.europa.eu/de/substance-information/-/substanceinfo/100.014.769" TargetMode="External"/><Relationship Id="rId6" Type="http://schemas.openxmlformats.org/officeDocument/2006/relationships/hyperlink" Target="https://echa.europa.eu/de/substance-information/-/substanceinfo/100.031.861" TargetMode="External"/><Relationship Id="rId15" Type="http://schemas.openxmlformats.org/officeDocument/2006/relationships/hyperlink" Target="https://www.sigmaaldrich.com/AT/en/search/989-38-8?focus=products&amp;page=1&amp;perPage=30&amp;sort=relevance&amp;term=989-38-8&amp;type=product" TargetMode="External"/><Relationship Id="rId23" Type="http://schemas.openxmlformats.org/officeDocument/2006/relationships/hyperlink" Target="https://echa.europa.eu/de/substance-information/-/substanceinfo/100.020.683" TargetMode="External"/><Relationship Id="rId28" Type="http://schemas.openxmlformats.org/officeDocument/2006/relationships/hyperlink" Target="https://echa.europa.eu/de/substance-information/-/substanceinfo/100.243.281" TargetMode="External"/><Relationship Id="rId36" Type="http://schemas.openxmlformats.org/officeDocument/2006/relationships/hyperlink" Target="https://echa.europa.eu/de/substance-information/-/substanceinfo/100.013.861" TargetMode="External"/><Relationship Id="rId49" Type="http://schemas.openxmlformats.org/officeDocument/2006/relationships/hyperlink" Target="https://www.sigmaaldrich.com/AT/en/product/aldrich/756490" TargetMode="External"/><Relationship Id="rId57" Type="http://schemas.openxmlformats.org/officeDocument/2006/relationships/hyperlink" Target="https://echa.europa.eu/de/substance-information/-/substanceinfo/100.031.525" TargetMode="External"/><Relationship Id="rId10" Type="http://schemas.openxmlformats.org/officeDocument/2006/relationships/hyperlink" Target="https://www.sigmaaldrich.com/AT/en/search/1306-38-3?focus=products&amp;page=1&amp;perPage=30&amp;sort=relevance&amp;term=1306-38-3&amp;type=product" TargetMode="External"/><Relationship Id="rId31" Type="http://schemas.openxmlformats.org/officeDocument/2006/relationships/hyperlink" Target="https://www.sigmaaldrich.com/AT/en/product/aldrich/543292" TargetMode="External"/><Relationship Id="rId44" Type="http://schemas.openxmlformats.org/officeDocument/2006/relationships/hyperlink" Target="https://echa.europa.eu/de/substance-information/-/substanceinfo/100.031.847" TargetMode="External"/><Relationship Id="rId52" Type="http://schemas.openxmlformats.org/officeDocument/2006/relationships/hyperlink" Target="https://echa.europa.eu/de/substance-information/-/substanceinfo/100.058.579" TargetMode="External"/><Relationship Id="rId60" Type="http://schemas.openxmlformats.org/officeDocument/2006/relationships/hyperlink" Target="https://echa.europa.eu/de/substance-information/-/substanceinfo/100.031.670" TargetMode="External"/><Relationship Id="rId65" Type="http://schemas.openxmlformats.org/officeDocument/2006/relationships/hyperlink" Target="https://echa.europa.eu/de/substance-information/-/substanceinfo/100.031.668" TargetMode="External"/><Relationship Id="rId73" Type="http://schemas.openxmlformats.org/officeDocument/2006/relationships/hyperlink" Target="https://echa.europa.eu/de/substance-information/-/substanceinfo/100.031.560" TargetMode="External"/><Relationship Id="rId78" Type="http://schemas.openxmlformats.org/officeDocument/2006/relationships/hyperlink" Target="https://www.sigmaaldrich.com/AT/de/product/aldrich/633844" TargetMode="External"/><Relationship Id="rId81" Type="http://schemas.openxmlformats.org/officeDocument/2006/relationships/hyperlink" Target="https://www.sigmaaldrich.com/AT/de/product/aldrich/400866" TargetMode="External"/><Relationship Id="rId86" Type="http://schemas.openxmlformats.org/officeDocument/2006/relationships/hyperlink" Target="https://echa.europa.eu/de/substance-information/-/substanceinfo/100.013.790" TargetMode="External"/><Relationship Id="rId94" Type="http://schemas.openxmlformats.org/officeDocument/2006/relationships/printerSettings" Target="../printerSettings/printerSettings4.bin"/><Relationship Id="rId4" Type="http://schemas.openxmlformats.org/officeDocument/2006/relationships/hyperlink" Target="https://echa.europa.eu/de/substance-information/-/substanceinfo/100.013.849" TargetMode="External"/><Relationship Id="rId9" Type="http://schemas.openxmlformats.org/officeDocument/2006/relationships/hyperlink" Target="https://www.sigmaaldrich.com/AT/en/search/7128-64-5?focus=products&amp;page=1&amp;perPage=30&amp;sort=relevance&amp;term=7128-64-5&amp;type=product" TargetMode="External"/><Relationship Id="rId13" Type="http://schemas.openxmlformats.org/officeDocument/2006/relationships/hyperlink" Target="https://www.sigmaaldrich.com/AT/en/search/12064-62-9?focus=products&amp;page=1&amp;perPage=30&amp;sort=relevance&amp;term=12064-62-9&amp;type=product" TargetMode="External"/><Relationship Id="rId18" Type="http://schemas.openxmlformats.org/officeDocument/2006/relationships/hyperlink" Target="https://www.sigmaaldrich.com/AT/en/product/bldpharmatechltd/bl3h160b9855?context=bbe" TargetMode="External"/><Relationship Id="rId39" Type="http://schemas.openxmlformats.org/officeDocument/2006/relationships/hyperlink" Target="https://www.sigmaaldrich.com/AT/en/search/12037-29-5?focus=products&amp;page=1&amp;perPage=30&amp;sort=relevance&amp;term=12037-29-5&amp;type=product" TargetMode="External"/><Relationship Id="rId34" Type="http://schemas.openxmlformats.org/officeDocument/2006/relationships/hyperlink" Target="https://www.sigmaaldrich.com/AT/en/product/aldrich/777978" TargetMode="External"/><Relationship Id="rId50" Type="http://schemas.openxmlformats.org/officeDocument/2006/relationships/hyperlink" Target="https://echa.europa.eu/de/substance-information/-/substanceinfo/100.065.064" TargetMode="External"/><Relationship Id="rId55" Type="http://schemas.openxmlformats.org/officeDocument/2006/relationships/hyperlink" Target="https://www.sigmaaldrich.com/AT/de/product/aldrich/641855" TargetMode="External"/><Relationship Id="rId76" Type="http://schemas.openxmlformats.org/officeDocument/2006/relationships/hyperlink" Target="https://echa.europa.eu/de/substance-information/-/substanceinfo/100.031.319" TargetMode="External"/><Relationship Id="rId97" Type="http://schemas.openxmlformats.org/officeDocument/2006/relationships/comments" Target="../comments2.xml"/><Relationship Id="rId7" Type="http://schemas.openxmlformats.org/officeDocument/2006/relationships/hyperlink" Target="https://echa.europa.eu/de/substance-information/-/substanceinfo/100.013.786" TargetMode="External"/><Relationship Id="rId71" Type="http://schemas.openxmlformats.org/officeDocument/2006/relationships/hyperlink" Target="https://echa.europa.eu/de/substance-information/-/substanceinfo/100.162.778" TargetMode="External"/><Relationship Id="rId92" Type="http://schemas.openxmlformats.org/officeDocument/2006/relationships/hyperlink" Target="https://www.sigmaaldrich.com/AT/en/product/aldrich/809322" TargetMode="External"/><Relationship Id="rId2" Type="http://schemas.openxmlformats.org/officeDocument/2006/relationships/hyperlink" Target="https://echa.europa.eu/de/substance-information/-/substanceinfo/100.027.661" TargetMode="External"/><Relationship Id="rId29" Type="http://schemas.openxmlformats.org/officeDocument/2006/relationships/hyperlink" Target="https://www.sigmaaldrich.com/AT/en/product/aldrich/544914" TargetMode="External"/><Relationship Id="rId24" Type="http://schemas.openxmlformats.org/officeDocument/2006/relationships/hyperlink" Target="https://echa.europa.eu/de/substance-information/-/substanceinfo/100.000.469" TargetMode="External"/><Relationship Id="rId40" Type="http://schemas.openxmlformats.org/officeDocument/2006/relationships/hyperlink" Target="https://www.sigmaaldrich.com/AT/en/search/12061-16-4?focus=products&amp;page=1&amp;perPage=30&amp;sort=relevance&amp;term=12061-16-4&amp;type=product" TargetMode="External"/><Relationship Id="rId45" Type="http://schemas.openxmlformats.org/officeDocument/2006/relationships/hyperlink" Target="https://echa.europa.eu/de/substance-information/-/substanceinfo/100.013.850" TargetMode="External"/><Relationship Id="rId66" Type="http://schemas.openxmlformats.org/officeDocument/2006/relationships/hyperlink" Target="https://echa.europa.eu/de/substance-information/-/substanceinfo/100.008.578" TargetMode="External"/><Relationship Id="rId87" Type="http://schemas.openxmlformats.org/officeDocument/2006/relationships/hyperlink" Target="https://echa.europa.eu/de/substance-information/-/substanceinfo/100.013.889" TargetMode="External"/><Relationship Id="rId61" Type="http://schemas.openxmlformats.org/officeDocument/2006/relationships/hyperlink" Target="https://www.sigmaaldrich.com/AT/de/substance/thuliumiiioxide3858712036441" TargetMode="External"/><Relationship Id="rId82" Type="http://schemas.openxmlformats.org/officeDocument/2006/relationships/hyperlink" Target="https://www.sigmaaldrich.com/AT/de/substance/ironiiioxide159691309371" TargetMode="External"/><Relationship Id="rId19" Type="http://schemas.openxmlformats.org/officeDocument/2006/relationships/hyperlink" Target="https://www.sigmaaldrich.com/AT/en/product/aldrich/p11255" TargetMode="External"/><Relationship Id="rId14" Type="http://schemas.openxmlformats.org/officeDocument/2006/relationships/hyperlink" Target="https://www.sigmaaldrich.com/AT/en/search/1308-87-8?focus=products&amp;page=1&amp;perPage=30&amp;sort=relevance&amp;term=1308-87-8&amp;type=product" TargetMode="External"/><Relationship Id="rId30" Type="http://schemas.openxmlformats.org/officeDocument/2006/relationships/hyperlink" Target="https://www.sigmaaldrich.com/AT/en/product/aldrich/425311" TargetMode="External"/><Relationship Id="rId35" Type="http://schemas.openxmlformats.org/officeDocument/2006/relationships/hyperlink" Target="https://echa.europa.eu/de/substance-information/-/substanceinfo/100.013.773" TargetMode="External"/><Relationship Id="rId56" Type="http://schemas.openxmlformats.org/officeDocument/2006/relationships/hyperlink" Target="https://www.sigmaaldrich.com/AT/de/product/aldrich/215066" TargetMode="External"/><Relationship Id="rId77" Type="http://schemas.openxmlformats.org/officeDocument/2006/relationships/hyperlink" Target="https://www.americanelements.com/erbium-doped-yttrium-aluminum-garnet-er-yag" TargetMode="External"/><Relationship Id="rId8" Type="http://schemas.openxmlformats.org/officeDocument/2006/relationships/hyperlink" Target="https://www.sigmaaldrich.com/AT/en/search/1533-45-5?focus=products&amp;page=1&amp;perPage=30&amp;sort=relevance&amp;term=1533-45-5&amp;type=product" TargetMode="External"/><Relationship Id="rId51" Type="http://schemas.openxmlformats.org/officeDocument/2006/relationships/hyperlink" Target="https://www.americanelements.com/barium-magnesium-aluminate-63774-55-0" TargetMode="External"/><Relationship Id="rId72" Type="http://schemas.openxmlformats.org/officeDocument/2006/relationships/hyperlink" Target="https://www.americanelements.com/yttrium-silicate-12027-88-2" TargetMode="External"/><Relationship Id="rId93" Type="http://schemas.openxmlformats.org/officeDocument/2006/relationships/hyperlink" Target="https://echa.europa.eu/de/substance-information/-/substanceinfo/100.243.277" TargetMode="External"/><Relationship Id="rId98"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table" Target="../tables/table3.xml"/><Relationship Id="rId1" Type="http://schemas.openxmlformats.org/officeDocument/2006/relationships/vmlDrawing" Target="../drawings/vmlDrawing3.vml"/><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3" Type="http://schemas.openxmlformats.org/officeDocument/2006/relationships/hyperlink" Target="https://echa.europa.eu/de/registration-dossier/-/registered-dossier/11837" TargetMode="External"/><Relationship Id="rId18" Type="http://schemas.openxmlformats.org/officeDocument/2006/relationships/hyperlink" Target="https://www.sigmaaldrich.com/AT/en/sds/aldrich/544914" TargetMode="External"/><Relationship Id="rId26" Type="http://schemas.openxmlformats.org/officeDocument/2006/relationships/hyperlink" Target="https://echa.europa.eu/de/registration-dossier/-/registered-dossier/10619" TargetMode="External"/><Relationship Id="rId39" Type="http://schemas.openxmlformats.org/officeDocument/2006/relationships/hyperlink" Target="https://echa.europa.eu/de/registration-dossier/-/registered-dossier/15552/4/23" TargetMode="External"/><Relationship Id="rId21" Type="http://schemas.openxmlformats.org/officeDocument/2006/relationships/hyperlink" Target="https://www.sigmaaldrich.com/AT/en/sds/aldrich/642339" TargetMode="External"/><Relationship Id="rId34" Type="http://schemas.openxmlformats.org/officeDocument/2006/relationships/hyperlink" Target="http://www.chemspider.com/Chemical-Structure.34903.html?rid=d93ed3e0-ce37-4d61-8556-f9053c65e2b0" TargetMode="External"/><Relationship Id="rId42" Type="http://schemas.openxmlformats.org/officeDocument/2006/relationships/hyperlink" Target="https://www.sigmaaldrich.com/AT/en/sds/aldrich/633844" TargetMode="External"/><Relationship Id="rId47" Type="http://schemas.openxmlformats.org/officeDocument/2006/relationships/hyperlink" Target="https://www.americanelements.com/printpdf/product/56007/sds" TargetMode="External"/><Relationship Id="rId50" Type="http://schemas.openxmlformats.org/officeDocument/2006/relationships/table" Target="../tables/table4.xml"/><Relationship Id="rId7" Type="http://schemas.openxmlformats.org/officeDocument/2006/relationships/hyperlink" Target="https://echa.europa.eu/de/registration-dossier/-/registered-dossier/14370" TargetMode="External"/><Relationship Id="rId2" Type="http://schemas.openxmlformats.org/officeDocument/2006/relationships/hyperlink" Target="http://www.chemspider.com/Chemical-Structure.13658385.html?rid=7b8ee9db-1853-416a-b6d3-fcbddaf6fc51" TargetMode="External"/><Relationship Id="rId16" Type="http://schemas.openxmlformats.org/officeDocument/2006/relationships/hyperlink" Target="https://pubchem.ncbi.nlm.nih.gov/compound/6099" TargetMode="External"/><Relationship Id="rId29" Type="http://schemas.openxmlformats.org/officeDocument/2006/relationships/hyperlink" Target="http://www.chemspider.com/Chemical-Structure.5254017.html?rid=50cff674-e778-47cf-ba5d-24f05047752f" TargetMode="External"/><Relationship Id="rId11" Type="http://schemas.openxmlformats.org/officeDocument/2006/relationships/hyperlink" Target="https://echa.europa.eu/de/registration-dossier/-/registered-dossier/25449" TargetMode="External"/><Relationship Id="rId24" Type="http://schemas.openxmlformats.org/officeDocument/2006/relationships/hyperlink" Target="https://echa.europa.eu/de/registration-dossier/-/registered-dossier/15267" TargetMode="External"/><Relationship Id="rId32" Type="http://schemas.openxmlformats.org/officeDocument/2006/relationships/hyperlink" Target="https://echa.europa.eu/de/registration-dossier/-/registered-dossier/27476/4/2" TargetMode="External"/><Relationship Id="rId37" Type="http://schemas.openxmlformats.org/officeDocument/2006/relationships/hyperlink" Target="https://echa.europa.eu/de/registration-dossier/-/registered-dossier/13534/4/23" TargetMode="External"/><Relationship Id="rId40" Type="http://schemas.openxmlformats.org/officeDocument/2006/relationships/hyperlink" Target="https://echa.europa.eu/de/registration-dossier/-/registered-dossier/15441/4/23" TargetMode="External"/><Relationship Id="rId45" Type="http://schemas.openxmlformats.org/officeDocument/2006/relationships/hyperlink" Target="https://www.sigmaaldrich.com/AT/en/sds/sigma/17927" TargetMode="External"/><Relationship Id="rId5" Type="http://schemas.openxmlformats.org/officeDocument/2006/relationships/hyperlink" Target="https://echa.europa.eu/de/registration-dossier/-/registered-dossier/10402" TargetMode="External"/><Relationship Id="rId15" Type="http://schemas.openxmlformats.org/officeDocument/2006/relationships/hyperlink" Target="https://pubchem.ncbi.nlm.nih.gov/compound/11967809" TargetMode="External"/><Relationship Id="rId23" Type="http://schemas.openxmlformats.org/officeDocument/2006/relationships/hyperlink" Target="https://echa.europa.eu/de/registration-dossier/-/registered-dossier/11485/4/17" TargetMode="External"/><Relationship Id="rId28" Type="http://schemas.openxmlformats.org/officeDocument/2006/relationships/hyperlink" Target="https://echa.europa.eu/de/registration-dossier/-/registered-dossier/5386" TargetMode="External"/><Relationship Id="rId36" Type="http://schemas.openxmlformats.org/officeDocument/2006/relationships/hyperlink" Target="https://www.americanelements.com/yttrium-silicate-12027-88-2" TargetMode="External"/><Relationship Id="rId49" Type="http://schemas.openxmlformats.org/officeDocument/2006/relationships/vmlDrawing" Target="../drawings/vmlDrawing4.vml"/><Relationship Id="rId10" Type="http://schemas.openxmlformats.org/officeDocument/2006/relationships/hyperlink" Target="https://echa.europa.eu/de/registration-dossier/-/registered-dossier/22648" TargetMode="External"/><Relationship Id="rId19" Type="http://schemas.openxmlformats.org/officeDocument/2006/relationships/hyperlink" Target="https://www.sigmaaldrich.com/AT/en/sds/aldrich/425311" TargetMode="External"/><Relationship Id="rId31" Type="http://schemas.openxmlformats.org/officeDocument/2006/relationships/hyperlink" Target="http://www.chemspider.com/Chemical-Structure.3753585.html?rid=feb09781-aedc-40ff-911b-0f58635eb465" TargetMode="External"/><Relationship Id="rId44" Type="http://schemas.openxmlformats.org/officeDocument/2006/relationships/hyperlink" Target="https://www.americanelements.com/printpdf/product/46438/sds" TargetMode="External"/><Relationship Id="rId52" Type="http://schemas.microsoft.com/office/2017/10/relationships/threadedComment" Target="../threadedComments/threadedComment4.xml"/><Relationship Id="rId4" Type="http://schemas.openxmlformats.org/officeDocument/2006/relationships/hyperlink" Target="https://echa.europa.eu/de/registration-dossier/-/registered-dossier/21781" TargetMode="External"/><Relationship Id="rId9" Type="http://schemas.openxmlformats.org/officeDocument/2006/relationships/hyperlink" Target="https://echa.europa.eu/de/registration-dossier/-/registered-dossier/22534" TargetMode="External"/><Relationship Id="rId14" Type="http://schemas.openxmlformats.org/officeDocument/2006/relationships/hyperlink" Target="https://www.sigmaaldrich.com/AT/en/sds/sigma/f4274" TargetMode="External"/><Relationship Id="rId22" Type="http://schemas.openxmlformats.org/officeDocument/2006/relationships/hyperlink" Target="https://echa.europa.eu/de/registration-dossier/-/registered-dossier/12227/4/3" TargetMode="External"/><Relationship Id="rId27" Type="http://schemas.openxmlformats.org/officeDocument/2006/relationships/hyperlink" Target="https://echa.europa.eu/de/registration-dossier/-/registered-dossier/26773" TargetMode="External"/><Relationship Id="rId30" Type="http://schemas.openxmlformats.org/officeDocument/2006/relationships/hyperlink" Target="https://echa.europa.eu/de/registration-dossier/-/registered-dossier/13854/4/7" TargetMode="External"/><Relationship Id="rId35" Type="http://schemas.openxmlformats.org/officeDocument/2006/relationships/hyperlink" Target="https://echa.europa.eu/de/registration-dossier/-/registered-dossier/16387/4/16" TargetMode="External"/><Relationship Id="rId43" Type="http://schemas.openxmlformats.org/officeDocument/2006/relationships/hyperlink" Target="https://echa.europa.eu/de/registration-dossier/-/registered-dossier/15989/4/23" TargetMode="External"/><Relationship Id="rId48" Type="http://schemas.openxmlformats.org/officeDocument/2006/relationships/printerSettings" Target="../printerSettings/printerSettings5.bin"/><Relationship Id="rId8" Type="http://schemas.openxmlformats.org/officeDocument/2006/relationships/hyperlink" Target="https://echa.europa.eu/de/registration-dossier/-/registered-dossier/14946" TargetMode="External"/><Relationship Id="rId51" Type="http://schemas.openxmlformats.org/officeDocument/2006/relationships/comments" Target="../comments4.xml"/><Relationship Id="rId3" Type="http://schemas.openxmlformats.org/officeDocument/2006/relationships/hyperlink" Target="http://www.chemspider.com/Chemical-Structure.2798341.html?rid=6185e3f3-61cb-4f24-b20f-7734ab492548" TargetMode="External"/><Relationship Id="rId12" Type="http://schemas.openxmlformats.org/officeDocument/2006/relationships/hyperlink" Target="https://echa.europa.eu/de/registration-dossier/-/registered-dossier/14755/1/1" TargetMode="External"/><Relationship Id="rId17" Type="http://schemas.openxmlformats.org/officeDocument/2006/relationships/hyperlink" Target="https://echa.europa.eu/de/registration-dossier/-/registered-dossier/18023" TargetMode="External"/><Relationship Id="rId25" Type="http://schemas.openxmlformats.org/officeDocument/2006/relationships/hyperlink" Target="https://echa.europa.eu/de/registration-dossier/-/registered-dossier/15875" TargetMode="External"/><Relationship Id="rId33" Type="http://schemas.openxmlformats.org/officeDocument/2006/relationships/hyperlink" Target="https://www.sigmaaldrich.com/AT/en/sds/aldrich/590509" TargetMode="External"/><Relationship Id="rId38" Type="http://schemas.openxmlformats.org/officeDocument/2006/relationships/hyperlink" Target="https://echa.europa.eu/de/registration-dossier/-/registered-dossier/16139/4/23" TargetMode="External"/><Relationship Id="rId46" Type="http://schemas.openxmlformats.org/officeDocument/2006/relationships/hyperlink" Target="http://www.chemspider.com/Chemical-Structure.17339486.html?rid=001eff78-c9c4-4e7d-bd22-5f90492e7114" TargetMode="External"/><Relationship Id="rId20" Type="http://schemas.openxmlformats.org/officeDocument/2006/relationships/hyperlink" Target="https://www.sigmaaldrich.com/AT/en/sds/aldrich/543292" TargetMode="External"/><Relationship Id="rId41" Type="http://schemas.openxmlformats.org/officeDocument/2006/relationships/hyperlink" Target="https://echa.europa.eu/de/registration-dossier/-/registered-dossier/27774/4/16" TargetMode="External"/><Relationship Id="rId1" Type="http://schemas.openxmlformats.org/officeDocument/2006/relationships/hyperlink" Target="http://www.chemspider.com/Chemical-Structure.10188539.html" TargetMode="External"/><Relationship Id="rId6" Type="http://schemas.openxmlformats.org/officeDocument/2006/relationships/hyperlink" Target="https://echa.europa.eu/de/registration-dossier/-/registered-dossier/15783"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pubchem.ncbi.nlm.nih.gov/compound/159373" TargetMode="External"/><Relationship Id="rId13" Type="http://schemas.openxmlformats.org/officeDocument/2006/relationships/hyperlink" Target="https://pubchem.ncbi.nlm.nih.gov/compound/6099" TargetMode="External"/><Relationship Id="rId18" Type="http://schemas.openxmlformats.org/officeDocument/2006/relationships/hyperlink" Target="https://spectrabase.com/spectrum/DH7uskvVNPD" TargetMode="External"/><Relationship Id="rId26" Type="http://schemas.openxmlformats.org/officeDocument/2006/relationships/vmlDrawing" Target="../drawings/vmlDrawing5.vml"/><Relationship Id="rId3" Type="http://schemas.openxmlformats.org/officeDocument/2006/relationships/hyperlink" Target="https://pubchem.ncbi.nlm.nih.gov/compound/73963" TargetMode="External"/><Relationship Id="rId21" Type="http://schemas.openxmlformats.org/officeDocument/2006/relationships/hyperlink" Target="https://spectrabase.com/spectrum/Deky5G3ibI0" TargetMode="External"/><Relationship Id="rId7" Type="http://schemas.openxmlformats.org/officeDocument/2006/relationships/hyperlink" Target="https://pubchem.ncbi.nlm.nih.gov/compound/18730" TargetMode="External"/><Relationship Id="rId12" Type="http://schemas.openxmlformats.org/officeDocument/2006/relationships/hyperlink" Target="https://pubchem.ncbi.nlm.nih.gov/compound/11967809" TargetMode="External"/><Relationship Id="rId17" Type="http://schemas.openxmlformats.org/officeDocument/2006/relationships/hyperlink" Target="https://spectrabase.com/spectrum/9zRhpbmjHFg" TargetMode="External"/><Relationship Id="rId25" Type="http://schemas.openxmlformats.org/officeDocument/2006/relationships/printerSettings" Target="../printerSettings/printerSettings6.bin"/><Relationship Id="rId2" Type="http://schemas.openxmlformats.org/officeDocument/2006/relationships/hyperlink" Target="https://pubchem.ncbi.nlm.nih.gov/compound/292429" TargetMode="External"/><Relationship Id="rId16" Type="http://schemas.openxmlformats.org/officeDocument/2006/relationships/hyperlink" Target="https://pubchem.ncbi.nlm.nih.gov/compound/53438012" TargetMode="External"/><Relationship Id="rId20" Type="http://schemas.openxmlformats.org/officeDocument/2006/relationships/hyperlink" Target="https://spectrabase.com/spectrum/IlHxzJSBBtB" TargetMode="External"/><Relationship Id="rId29" Type="http://schemas.microsoft.com/office/2017/10/relationships/threadedComment" Target="../threadedComments/threadedComment5.xml"/><Relationship Id="rId1" Type="http://schemas.openxmlformats.org/officeDocument/2006/relationships/hyperlink" Target="https://pubchem.ncbi.nlm.nih.gov/compound/5702717" TargetMode="External"/><Relationship Id="rId6" Type="http://schemas.openxmlformats.org/officeDocument/2006/relationships/hyperlink" Target="https://pubchem.ncbi.nlm.nih.gov/compound/67191" TargetMode="External"/><Relationship Id="rId11" Type="http://schemas.openxmlformats.org/officeDocument/2006/relationships/hyperlink" Target="https://spectrabase.com/spectrum/InPQHX0SgG2" TargetMode="External"/><Relationship Id="rId24" Type="http://schemas.openxmlformats.org/officeDocument/2006/relationships/hyperlink" Target="https://spectrabase.com/spectrum/1B7I69CNxIB" TargetMode="External"/><Relationship Id="rId5" Type="http://schemas.openxmlformats.org/officeDocument/2006/relationships/hyperlink" Target="https://pubchem.ncbi.nlm.nih.gov/compound/13976" TargetMode="External"/><Relationship Id="rId15" Type="http://schemas.openxmlformats.org/officeDocument/2006/relationships/hyperlink" Target="https://pubchem.ncbi.nlm.nih.gov/compound/53400653" TargetMode="External"/><Relationship Id="rId23" Type="http://schemas.openxmlformats.org/officeDocument/2006/relationships/hyperlink" Target="https://pubchem.ncbi.nlm.nih.gov/compound/14792" TargetMode="External"/><Relationship Id="rId28" Type="http://schemas.openxmlformats.org/officeDocument/2006/relationships/comments" Target="../comments5.xml"/><Relationship Id="rId10" Type="http://schemas.openxmlformats.org/officeDocument/2006/relationships/hyperlink" Target="https://spectrabase.com/spectrum/Agf61lle0qg" TargetMode="External"/><Relationship Id="rId19" Type="http://schemas.openxmlformats.org/officeDocument/2006/relationships/hyperlink" Target="https://spectrabase.com/spectrum/FX83QBXPz4u" TargetMode="External"/><Relationship Id="rId4" Type="http://schemas.openxmlformats.org/officeDocument/2006/relationships/hyperlink" Target="https://spectrabase.com/spectrum/LoN8HiEhy6" TargetMode="External"/><Relationship Id="rId9" Type="http://schemas.openxmlformats.org/officeDocument/2006/relationships/hyperlink" Target="https://spectrabase.com/spectrum/8OG8SoWUW2F" TargetMode="External"/><Relationship Id="rId14" Type="http://schemas.openxmlformats.org/officeDocument/2006/relationships/hyperlink" Target="https://pubchem.ncbi.nlm.nih.gov/compound/5462310" TargetMode="External"/><Relationship Id="rId22" Type="http://schemas.openxmlformats.org/officeDocument/2006/relationships/hyperlink" Target="https://spectrabase.com/spectrum/Egc78C7KGJC" TargetMode="External"/><Relationship Id="rId27" Type="http://schemas.openxmlformats.org/officeDocument/2006/relationships/table" Target="../tables/table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table" Target="../tables/table6.xml"/><Relationship Id="rId1" Type="http://schemas.openxmlformats.org/officeDocument/2006/relationships/vmlDrawing" Target="../drawings/vmlDrawing6.vml"/><Relationship Id="rId4" Type="http://schemas.microsoft.com/office/2017/10/relationships/threadedComment" Target="../threadedComments/threadedComment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tabSelected="1" zoomScaleNormal="100" workbookViewId="0">
      <selection activeCell="B5" sqref="B5"/>
    </sheetView>
  </sheetViews>
  <sheetFormatPr baseColWidth="10" defaultColWidth="11.5703125" defaultRowHeight="16.5" x14ac:dyDescent="0.3"/>
  <cols>
    <col min="1" max="16384" width="11.5703125" style="7"/>
  </cols>
  <sheetData>
    <row r="1" spans="1:7" ht="69" customHeight="1" x14ac:dyDescent="0.3">
      <c r="A1" s="50" t="s">
        <v>774</v>
      </c>
      <c r="B1" s="50"/>
      <c r="C1" s="50"/>
      <c r="D1" s="50"/>
      <c r="E1" s="50"/>
      <c r="F1" s="50"/>
      <c r="G1" s="50"/>
    </row>
    <row r="2" spans="1:7" ht="22.5" x14ac:dyDescent="0.3">
      <c r="A2" s="46" t="s">
        <v>775</v>
      </c>
    </row>
    <row r="4" spans="1:7" x14ac:dyDescent="0.3">
      <c r="A4" s="47" t="s">
        <v>776</v>
      </c>
    </row>
    <row r="6" spans="1:7" s="48" customFormat="1" ht="30" customHeight="1" x14ac:dyDescent="0.25">
      <c r="A6" s="51" t="s">
        <v>777</v>
      </c>
      <c r="B6" s="51"/>
      <c r="C6" s="51"/>
      <c r="D6" s="51"/>
      <c r="E6" s="51"/>
      <c r="F6" s="51"/>
      <c r="G6" s="51"/>
    </row>
    <row r="7" spans="1:7" s="48" customFormat="1" ht="30" customHeight="1" x14ac:dyDescent="0.25">
      <c r="A7" s="51" t="s">
        <v>778</v>
      </c>
      <c r="B7" s="51"/>
      <c r="C7" s="51"/>
      <c r="D7" s="51"/>
      <c r="E7" s="51"/>
      <c r="F7" s="51"/>
      <c r="G7" s="51"/>
    </row>
    <row r="8" spans="1:7" s="48" customFormat="1" ht="30" customHeight="1" x14ac:dyDescent="0.25">
      <c r="A8" s="49" t="s">
        <v>779</v>
      </c>
    </row>
  </sheetData>
  <mergeCells count="3">
    <mergeCell ref="A1:G1"/>
    <mergeCell ref="A6:G6"/>
    <mergeCell ref="A7:G7"/>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5"/>
  <sheetViews>
    <sheetView zoomScaleNormal="100" workbookViewId="0">
      <pane xSplit="1" topLeftCell="B1" activePane="topRight" state="frozen"/>
      <selection pane="topRight" activeCell="A11" sqref="A11"/>
    </sheetView>
  </sheetViews>
  <sheetFormatPr baseColWidth="10" defaultColWidth="9.28515625" defaultRowHeight="15" x14ac:dyDescent="0.3"/>
  <cols>
    <col min="1" max="1" width="93.28515625" style="10" bestFit="1" customWidth="1"/>
    <col min="2" max="2" width="11.140625" style="10" bestFit="1" customWidth="1"/>
    <col min="3" max="3" width="33.7109375" style="10" bestFit="1" customWidth="1"/>
    <col min="4" max="4" width="26.42578125" style="10" bestFit="1" customWidth="1"/>
    <col min="5" max="5" width="37.5703125" style="10" bestFit="1" customWidth="1"/>
    <col min="6" max="6" width="24.5703125" style="10" bestFit="1" customWidth="1"/>
    <col min="7" max="7" width="20.7109375" style="10" bestFit="1" customWidth="1"/>
    <col min="8" max="8" width="21.85546875" style="10" bestFit="1" customWidth="1"/>
    <col min="9" max="9" width="34.42578125" style="10" bestFit="1" customWidth="1"/>
    <col min="10" max="10" width="27.7109375" style="10" bestFit="1" customWidth="1"/>
    <col min="11" max="11" width="38.28515625" style="10" bestFit="1" customWidth="1"/>
    <col min="12" max="12" width="25.28515625" style="10" bestFit="1" customWidth="1"/>
    <col min="13" max="13" width="35.28515625" style="10" bestFit="1" customWidth="1"/>
    <col min="14" max="14" width="22.140625" style="10" bestFit="1" customWidth="1"/>
    <col min="15" max="15" width="20.42578125" style="10" bestFit="1" customWidth="1"/>
    <col min="16" max="16" width="21.5703125" style="10" bestFit="1" customWidth="1"/>
    <col min="17" max="16384" width="9.28515625" style="10"/>
  </cols>
  <sheetData>
    <row r="1" spans="1:16" x14ac:dyDescent="0.3">
      <c r="A1" s="25" t="s">
        <v>759</v>
      </c>
      <c r="B1" s="24"/>
      <c r="C1" s="24"/>
      <c r="D1" s="24"/>
      <c r="E1" s="24"/>
      <c r="F1" s="24"/>
      <c r="G1" s="24"/>
      <c r="H1" s="24"/>
      <c r="I1" s="24"/>
      <c r="J1" s="24"/>
      <c r="K1" s="24"/>
      <c r="L1" s="24"/>
      <c r="M1" s="24"/>
      <c r="N1" s="24"/>
      <c r="O1" s="24"/>
      <c r="P1" s="24"/>
    </row>
    <row r="2" spans="1:16" x14ac:dyDescent="0.3">
      <c r="A2" s="17" t="s">
        <v>719</v>
      </c>
      <c r="B2" s="10" t="s">
        <v>717</v>
      </c>
      <c r="C2" s="10" t="s">
        <v>156</v>
      </c>
      <c r="D2" s="10" t="s">
        <v>145</v>
      </c>
      <c r="E2" s="10" t="s">
        <v>155</v>
      </c>
      <c r="F2" s="10" t="s">
        <v>146</v>
      </c>
      <c r="G2" s="10" t="s">
        <v>147</v>
      </c>
      <c r="H2" s="10" t="s">
        <v>148</v>
      </c>
      <c r="I2" s="10" t="s">
        <v>157</v>
      </c>
      <c r="J2" s="10" t="s">
        <v>149</v>
      </c>
      <c r="K2" s="10" t="s">
        <v>158</v>
      </c>
      <c r="L2" s="10" t="s">
        <v>150</v>
      </c>
      <c r="M2" s="10" t="s">
        <v>159</v>
      </c>
      <c r="N2" s="10" t="s">
        <v>151</v>
      </c>
      <c r="O2" s="10" t="s">
        <v>152</v>
      </c>
      <c r="P2" s="10" t="s">
        <v>153</v>
      </c>
    </row>
    <row r="3" spans="1:16" x14ac:dyDescent="0.3">
      <c r="A3" s="10" t="s">
        <v>0</v>
      </c>
      <c r="B3" s="11" t="str">
        <f>VLOOKUP(Tox_table[[#This Row],[Marker name]],BaseInfos_Table[],3,FALSE)</f>
        <v>1533-45-5</v>
      </c>
      <c r="C3" s="10">
        <v>44.7</v>
      </c>
      <c r="D3" s="10" t="s">
        <v>154</v>
      </c>
      <c r="E3" s="10">
        <v>12.8</v>
      </c>
      <c r="F3" s="10" t="s">
        <v>154</v>
      </c>
      <c r="G3" s="10" t="s">
        <v>55</v>
      </c>
      <c r="H3" s="10" t="s">
        <v>154</v>
      </c>
      <c r="I3" s="10">
        <v>6.88</v>
      </c>
      <c r="J3" s="10" t="s">
        <v>154</v>
      </c>
      <c r="K3" s="10">
        <v>4.57</v>
      </c>
      <c r="L3" s="10" t="s">
        <v>154</v>
      </c>
      <c r="M3" s="10">
        <v>4.57</v>
      </c>
      <c r="N3" s="10" t="s">
        <v>154</v>
      </c>
      <c r="O3" s="10" t="s">
        <v>55</v>
      </c>
      <c r="P3" s="10" t="s">
        <v>154</v>
      </c>
    </row>
    <row r="4" spans="1:16" x14ac:dyDescent="0.3">
      <c r="A4" s="10" t="s">
        <v>1</v>
      </c>
      <c r="B4" s="11" t="str">
        <f>VLOOKUP(Tox_table[[#This Row],[Marker name]],BaseInfos_Table[],3,FALSE)</f>
        <v>7128-64-5</v>
      </c>
      <c r="C4" s="10">
        <v>3</v>
      </c>
      <c r="D4" s="10" t="s">
        <v>77</v>
      </c>
      <c r="E4" s="10">
        <v>7.1</v>
      </c>
      <c r="F4" s="10" t="s">
        <v>77</v>
      </c>
      <c r="G4" s="10" t="s">
        <v>55</v>
      </c>
      <c r="H4" s="10" t="s">
        <v>77</v>
      </c>
      <c r="I4" s="10" t="s">
        <v>55</v>
      </c>
      <c r="J4" s="10" t="s">
        <v>77</v>
      </c>
      <c r="K4" s="10">
        <v>3.5</v>
      </c>
      <c r="L4" s="10" t="s">
        <v>77</v>
      </c>
      <c r="M4" s="10">
        <v>3.5</v>
      </c>
      <c r="N4" s="10" t="s">
        <v>77</v>
      </c>
      <c r="O4" s="10" t="s">
        <v>55</v>
      </c>
      <c r="P4" s="10" t="s">
        <v>77</v>
      </c>
    </row>
    <row r="5" spans="1:16" x14ac:dyDescent="0.3">
      <c r="A5" s="10" t="s">
        <v>686</v>
      </c>
      <c r="B5" s="11" t="str">
        <f>VLOOKUP(Tox_table[[#This Row],[Marker name]],BaseInfos_Table[],3,FALSE)</f>
        <v>1306-38-3</v>
      </c>
      <c r="C5" s="10" t="s">
        <v>55</v>
      </c>
      <c r="D5" s="10" t="s">
        <v>77</v>
      </c>
      <c r="E5" s="10" t="s">
        <v>55</v>
      </c>
      <c r="F5" s="10" t="s">
        <v>77</v>
      </c>
      <c r="G5" s="10" t="s">
        <v>55</v>
      </c>
      <c r="H5" s="10" t="s">
        <v>77</v>
      </c>
      <c r="I5" s="10" t="s">
        <v>55</v>
      </c>
      <c r="J5" s="10" t="s">
        <v>77</v>
      </c>
      <c r="K5" s="10" t="s">
        <v>55</v>
      </c>
      <c r="L5" s="10" t="s">
        <v>77</v>
      </c>
      <c r="M5" s="10" t="s">
        <v>55</v>
      </c>
      <c r="N5" s="10" t="s">
        <v>77</v>
      </c>
      <c r="O5" s="10" t="s">
        <v>55</v>
      </c>
      <c r="P5" s="10" t="s">
        <v>77</v>
      </c>
    </row>
    <row r="6" spans="1:16" x14ac:dyDescent="0.3">
      <c r="A6" s="10" t="s">
        <v>687</v>
      </c>
      <c r="B6" s="11" t="str">
        <f>VLOOKUP(Tox_table[[#This Row],[Marker name]],BaseInfos_Table[],3,FALSE)</f>
        <v>1314-36-9</v>
      </c>
      <c r="C6" s="10" t="s">
        <v>55</v>
      </c>
      <c r="D6" s="10" t="s">
        <v>77</v>
      </c>
      <c r="E6" s="10" t="s">
        <v>55</v>
      </c>
      <c r="F6" s="10" t="s">
        <v>77</v>
      </c>
      <c r="G6" s="10" t="s">
        <v>55</v>
      </c>
      <c r="H6" s="10" t="s">
        <v>77</v>
      </c>
      <c r="I6" s="10" t="s">
        <v>55</v>
      </c>
      <c r="J6" s="10" t="s">
        <v>77</v>
      </c>
      <c r="K6" s="10" t="s">
        <v>55</v>
      </c>
      <c r="L6" s="10" t="s">
        <v>77</v>
      </c>
      <c r="M6" s="10" t="s">
        <v>55</v>
      </c>
      <c r="N6" s="10" t="s">
        <v>77</v>
      </c>
      <c r="O6" s="10" t="s">
        <v>55</v>
      </c>
      <c r="P6" s="10" t="s">
        <v>77</v>
      </c>
    </row>
    <row r="7" spans="1:16" x14ac:dyDescent="0.3">
      <c r="A7" s="10" t="s">
        <v>688</v>
      </c>
      <c r="B7" s="11" t="str">
        <f>VLOOKUP(Tox_table[[#This Row],[Marker name]],BaseInfos_Table[],3,FALSE)</f>
        <v>1313-97-9</v>
      </c>
      <c r="C7" s="10">
        <v>18</v>
      </c>
      <c r="D7" s="10" t="s">
        <v>77</v>
      </c>
      <c r="E7" s="10">
        <v>30000</v>
      </c>
      <c r="F7" s="10" t="s">
        <v>77</v>
      </c>
      <c r="G7" s="10" t="s">
        <v>55</v>
      </c>
      <c r="H7" s="10" t="s">
        <v>77</v>
      </c>
      <c r="I7" s="10" t="s">
        <v>55</v>
      </c>
      <c r="J7" s="10" t="s">
        <v>77</v>
      </c>
      <c r="K7" s="10" t="s">
        <v>55</v>
      </c>
      <c r="L7" s="10" t="s">
        <v>77</v>
      </c>
      <c r="M7" s="10" t="s">
        <v>55</v>
      </c>
      <c r="N7" s="10" t="s">
        <v>77</v>
      </c>
      <c r="O7" s="10" t="s">
        <v>55</v>
      </c>
      <c r="P7" s="10" t="s">
        <v>77</v>
      </c>
    </row>
    <row r="8" spans="1:16" x14ac:dyDescent="0.3">
      <c r="A8" s="10" t="s">
        <v>689</v>
      </c>
      <c r="B8" s="11" t="str">
        <f>VLOOKUP(Tox_table[[#This Row],[Marker name]],BaseInfos_Table[],3,FALSE)</f>
        <v>12064-62-9</v>
      </c>
      <c r="C8" s="10" t="s">
        <v>55</v>
      </c>
      <c r="D8" s="10" t="s">
        <v>77</v>
      </c>
      <c r="E8" s="10" t="s">
        <v>55</v>
      </c>
      <c r="F8" s="10" t="s">
        <v>77</v>
      </c>
      <c r="G8" s="10" t="s">
        <v>55</v>
      </c>
      <c r="H8" s="10" t="s">
        <v>77</v>
      </c>
      <c r="I8" s="10" t="s">
        <v>55</v>
      </c>
      <c r="J8" s="10" t="s">
        <v>77</v>
      </c>
      <c r="K8" s="10" t="s">
        <v>55</v>
      </c>
      <c r="L8" s="10" t="s">
        <v>77</v>
      </c>
      <c r="M8" s="10" t="s">
        <v>55</v>
      </c>
      <c r="N8" s="10" t="s">
        <v>77</v>
      </c>
      <c r="O8" s="10" t="s">
        <v>55</v>
      </c>
      <c r="P8" s="10" t="s">
        <v>77</v>
      </c>
    </row>
    <row r="9" spans="1:16" x14ac:dyDescent="0.3">
      <c r="A9" s="10" t="s">
        <v>690</v>
      </c>
      <c r="B9" s="11" t="str">
        <f>VLOOKUP(Tox_table[[#This Row],[Marker name]],BaseInfos_Table[],3,FALSE)</f>
        <v>1308-87-8</v>
      </c>
      <c r="C9" s="10" t="s">
        <v>55</v>
      </c>
      <c r="D9" s="10" t="s">
        <v>55</v>
      </c>
      <c r="E9" s="10" t="s">
        <v>55</v>
      </c>
      <c r="F9" s="10" t="s">
        <v>55</v>
      </c>
      <c r="G9" s="10" t="s">
        <v>55</v>
      </c>
      <c r="H9" s="10" t="s">
        <v>55</v>
      </c>
      <c r="I9" s="10" t="s">
        <v>55</v>
      </c>
      <c r="J9" s="10" t="s">
        <v>55</v>
      </c>
      <c r="K9" s="10" t="s">
        <v>55</v>
      </c>
      <c r="L9" s="10" t="s">
        <v>55</v>
      </c>
      <c r="M9" s="10" t="s">
        <v>55</v>
      </c>
      <c r="N9" s="10" t="s">
        <v>55</v>
      </c>
      <c r="O9" s="10" t="s">
        <v>55</v>
      </c>
      <c r="P9" s="10" t="s">
        <v>55</v>
      </c>
    </row>
    <row r="10" spans="1:16" x14ac:dyDescent="0.3">
      <c r="A10" s="10" t="s">
        <v>11</v>
      </c>
      <c r="B10" s="11" t="str">
        <f>VLOOKUP(Tox_table[[#This Row],[Marker name]],BaseInfos_Table[],3,FALSE)</f>
        <v>989-38-8</v>
      </c>
      <c r="C10" s="10" t="s">
        <v>55</v>
      </c>
      <c r="D10" s="10" t="s">
        <v>55</v>
      </c>
      <c r="E10" s="10" t="s">
        <v>55</v>
      </c>
      <c r="F10" s="10" t="s">
        <v>55</v>
      </c>
      <c r="G10" s="10" t="s">
        <v>55</v>
      </c>
      <c r="H10" s="10" t="s">
        <v>55</v>
      </c>
      <c r="I10" s="10" t="s">
        <v>55</v>
      </c>
      <c r="J10" s="10" t="s">
        <v>55</v>
      </c>
      <c r="K10" s="10" t="s">
        <v>55</v>
      </c>
      <c r="L10" s="10" t="s">
        <v>55</v>
      </c>
      <c r="M10" s="10" t="s">
        <v>55</v>
      </c>
      <c r="N10" s="10" t="s">
        <v>55</v>
      </c>
      <c r="O10" s="10" t="s">
        <v>55</v>
      </c>
      <c r="P10" s="10" t="s">
        <v>55</v>
      </c>
    </row>
    <row r="11" spans="1:16" x14ac:dyDescent="0.3">
      <c r="A11" s="10" t="s">
        <v>12</v>
      </c>
      <c r="B11" s="11" t="str">
        <f>VLOOKUP(Tox_table[[#This Row],[Marker name]],BaseInfos_Table[],3,FALSE)</f>
        <v>n.a.</v>
      </c>
    </row>
    <row r="12" spans="1:16" x14ac:dyDescent="0.3">
      <c r="A12" s="10" t="s">
        <v>19</v>
      </c>
      <c r="B12" s="11" t="str">
        <f>VLOOKUP(Tox_table[[#This Row],[Marker name]],BaseInfos_Table[],3,FALSE)</f>
        <v>n.a.</v>
      </c>
    </row>
    <row r="13" spans="1:16" x14ac:dyDescent="0.3">
      <c r="A13" s="10" t="s">
        <v>21</v>
      </c>
      <c r="B13" s="11" t="str">
        <f>VLOOKUP(Tox_table[[#This Row],[Marker name]],BaseInfos_Table[],3,FALSE)</f>
        <v>n.a.</v>
      </c>
    </row>
    <row r="14" spans="1:16" x14ac:dyDescent="0.3">
      <c r="A14" s="10" t="s">
        <v>20</v>
      </c>
      <c r="B14" s="11" t="str">
        <f>VLOOKUP(Tox_table[[#This Row],[Marker name]],BaseInfos_Table[],3,FALSE)</f>
        <v>n.a.</v>
      </c>
    </row>
    <row r="15" spans="1:16" x14ac:dyDescent="0.3">
      <c r="A15" s="10" t="s">
        <v>49</v>
      </c>
      <c r="B15" s="11" t="str">
        <f>VLOOKUP(Tox_table[[#This Row],[Marker name]],BaseInfos_Table[],3,FALSE)</f>
        <v>n.a.</v>
      </c>
    </row>
    <row r="16" spans="1:16" x14ac:dyDescent="0.3">
      <c r="A16" s="10" t="s">
        <v>56</v>
      </c>
      <c r="B16" s="11" t="str">
        <f>VLOOKUP(Tox_table[[#This Row],[Marker name]],BaseInfos_Table[],3,FALSE)</f>
        <v>1047-16-1</v>
      </c>
      <c r="C16" s="10">
        <v>3</v>
      </c>
      <c r="D16" s="10" t="s">
        <v>77</v>
      </c>
      <c r="E16" s="10" t="s">
        <v>55</v>
      </c>
      <c r="F16" s="10" t="s">
        <v>77</v>
      </c>
      <c r="G16" s="10" t="s">
        <v>55</v>
      </c>
      <c r="H16" s="10" t="s">
        <v>77</v>
      </c>
      <c r="I16" s="10" t="s">
        <v>55</v>
      </c>
      <c r="J16" s="10" t="s">
        <v>77</v>
      </c>
      <c r="K16" s="10" t="s">
        <v>55</v>
      </c>
      <c r="L16" s="10" t="s">
        <v>77</v>
      </c>
      <c r="M16" s="10" t="s">
        <v>55</v>
      </c>
      <c r="N16" s="10" t="s">
        <v>77</v>
      </c>
      <c r="O16" s="10" t="s">
        <v>55</v>
      </c>
      <c r="P16" s="10" t="s">
        <v>77</v>
      </c>
    </row>
    <row r="17" spans="1:16" x14ac:dyDescent="0.3">
      <c r="A17" s="10" t="s">
        <v>54</v>
      </c>
      <c r="B17" s="11" t="str">
        <f>VLOOKUP(Tox_table[[#This Row],[Marker name]],BaseInfos_Table[],3,FALSE)</f>
        <v>128-69-8</v>
      </c>
      <c r="C17" s="10">
        <v>1.25</v>
      </c>
      <c r="D17" s="10" t="s">
        <v>229</v>
      </c>
      <c r="E17" s="10">
        <v>33.299999999999997</v>
      </c>
      <c r="F17" s="10" t="s">
        <v>77</v>
      </c>
      <c r="G17" s="10" t="s">
        <v>55</v>
      </c>
      <c r="H17" s="10" t="s">
        <v>77</v>
      </c>
      <c r="I17" s="10" t="s">
        <v>55</v>
      </c>
      <c r="J17" s="10" t="s">
        <v>77</v>
      </c>
      <c r="K17" s="10">
        <v>16.7</v>
      </c>
      <c r="L17" s="10" t="s">
        <v>77</v>
      </c>
      <c r="M17" s="10">
        <v>10</v>
      </c>
      <c r="N17" s="10" t="s">
        <v>77</v>
      </c>
      <c r="O17" s="10" t="s">
        <v>55</v>
      </c>
      <c r="P17" s="10" t="s">
        <v>77</v>
      </c>
    </row>
    <row r="18" spans="1:16" x14ac:dyDescent="0.3">
      <c r="A18" s="10" t="s">
        <v>373</v>
      </c>
      <c r="B18" s="11" t="str">
        <f>VLOOKUP(Tox_table[[#This Row],[Marker name]],BaseInfos_Table[],3,FALSE)</f>
        <v xml:space="preserve">3326-32-7 </v>
      </c>
    </row>
    <row r="19" spans="1:16" x14ac:dyDescent="0.3">
      <c r="A19" s="10" t="s">
        <v>234</v>
      </c>
      <c r="B19" s="11" t="str">
        <f>VLOOKUP(Tox_table[[#This Row],[Marker name]],BaseInfos_Table[],3,FALSE)</f>
        <v>3599-32-4</v>
      </c>
    </row>
    <row r="20" spans="1:16" x14ac:dyDescent="0.3">
      <c r="A20" s="10" t="s">
        <v>235</v>
      </c>
      <c r="B20" s="11" t="str">
        <f>VLOOKUP(Tox_table[[#This Row],[Marker name]],BaseInfos_Table[],3,FALSE)</f>
        <v>61-73-4</v>
      </c>
    </row>
    <row r="21" spans="1:16" x14ac:dyDescent="0.3">
      <c r="A21" s="10" t="s">
        <v>250</v>
      </c>
      <c r="B21" s="11" t="str">
        <f>VLOOKUP(Tox_table[[#This Row],[Marker name]],BaseInfos_Table[],3,FALSE)</f>
        <v>308068-56-6</v>
      </c>
      <c r="C21" s="10" t="s">
        <v>55</v>
      </c>
      <c r="D21" s="10" t="s">
        <v>154</v>
      </c>
      <c r="E21" s="10" t="s">
        <v>55</v>
      </c>
      <c r="F21" s="10" t="s">
        <v>77</v>
      </c>
      <c r="G21" s="10" t="s">
        <v>55</v>
      </c>
      <c r="H21" s="10" t="s">
        <v>154</v>
      </c>
      <c r="I21" s="10" t="s">
        <v>55</v>
      </c>
      <c r="J21" s="10" t="s">
        <v>154</v>
      </c>
      <c r="K21" s="10" t="s">
        <v>55</v>
      </c>
      <c r="L21" s="10" t="s">
        <v>77</v>
      </c>
      <c r="M21" s="10" t="s">
        <v>55</v>
      </c>
      <c r="N21" s="10" t="s">
        <v>77</v>
      </c>
      <c r="O21" s="10" t="s">
        <v>55</v>
      </c>
      <c r="P21" s="10" t="s">
        <v>154</v>
      </c>
    </row>
    <row r="22" spans="1:16" x14ac:dyDescent="0.3">
      <c r="A22" s="10" t="s">
        <v>260</v>
      </c>
      <c r="B22" s="11" t="str">
        <f>VLOOKUP(Tox_table[[#This Row],[Marker name]],BaseInfos_Table[],3,FALSE)</f>
        <v>199444-11-6</v>
      </c>
      <c r="C22" s="10" t="s">
        <v>55</v>
      </c>
    </row>
    <row r="23" spans="1:16" x14ac:dyDescent="0.3">
      <c r="A23" s="10" t="s">
        <v>264</v>
      </c>
      <c r="B23" s="11" t="str">
        <f>VLOOKUP(Tox_table[[#This Row],[Marker name]],BaseInfos_Table[],3,FALSE)</f>
        <v>207399-07-3</v>
      </c>
      <c r="C23" s="10" t="s">
        <v>55</v>
      </c>
    </row>
    <row r="24" spans="1:16" x14ac:dyDescent="0.3">
      <c r="A24" s="10" t="s">
        <v>267</v>
      </c>
      <c r="B24" s="11" t="str">
        <f>VLOOKUP(Tox_table[[#This Row],[Marker name]],BaseInfos_Table[],3,FALSE)</f>
        <v>115970-66-6</v>
      </c>
      <c r="C24" s="10" t="s">
        <v>55</v>
      </c>
    </row>
    <row r="25" spans="1:16" x14ac:dyDescent="0.3">
      <c r="A25" s="10" t="s">
        <v>269</v>
      </c>
      <c r="B25" s="11" t="str">
        <f>VLOOKUP(Tox_table[[#This Row],[Marker name]],BaseInfos_Table[],3,FALSE)</f>
        <v>110992-55-7</v>
      </c>
      <c r="C25" s="10" t="s">
        <v>55</v>
      </c>
    </row>
    <row r="26" spans="1:16" x14ac:dyDescent="0.3">
      <c r="A26" s="10" t="s">
        <v>272</v>
      </c>
      <c r="B26" s="11" t="str">
        <f>VLOOKUP(Tox_table[[#This Row],[Marker name]],BaseInfos_Table[],3,FALSE)</f>
        <v>757960-10-4</v>
      </c>
      <c r="C26" s="10" t="s">
        <v>55</v>
      </c>
    </row>
    <row r="27" spans="1:16" x14ac:dyDescent="0.3">
      <c r="A27" s="10" t="s">
        <v>280</v>
      </c>
      <c r="B27" s="11" t="str">
        <f>VLOOKUP(Tox_table[[#This Row],[Marker name]],BaseInfos_Table[],3,FALSE)</f>
        <v>1306-25-8</v>
      </c>
      <c r="C27" s="10" t="s">
        <v>55</v>
      </c>
      <c r="D27" s="10" t="s">
        <v>77</v>
      </c>
      <c r="E27" s="10" t="s">
        <v>55</v>
      </c>
      <c r="F27" s="10" t="s">
        <v>229</v>
      </c>
      <c r="G27" s="10" t="s">
        <v>55</v>
      </c>
      <c r="H27" s="10" t="s">
        <v>229</v>
      </c>
      <c r="I27" s="10" t="s">
        <v>55</v>
      </c>
      <c r="J27" s="10" t="s">
        <v>77</v>
      </c>
      <c r="K27" s="10" t="s">
        <v>55</v>
      </c>
      <c r="L27" s="10" t="s">
        <v>229</v>
      </c>
      <c r="M27" s="10">
        <v>1E-3</v>
      </c>
    </row>
    <row r="28" spans="1:16" x14ac:dyDescent="0.3">
      <c r="A28" s="10" t="s">
        <v>281</v>
      </c>
      <c r="B28" s="11" t="str">
        <f>VLOOKUP(Tox_table[[#This Row],[Marker name]],BaseInfos_Table[],3,FALSE)</f>
        <v>1314-87-0</v>
      </c>
    </row>
    <row r="29" spans="1:16" x14ac:dyDescent="0.3">
      <c r="A29" s="10" t="s">
        <v>691</v>
      </c>
      <c r="B29" s="11" t="str">
        <f>VLOOKUP(Tox_table[[#This Row],[Marker name]],BaseInfos_Table[],3,FALSE)</f>
        <v>1312-81-8</v>
      </c>
    </row>
    <row r="30" spans="1:16" x14ac:dyDescent="0.3">
      <c r="A30" s="10" t="s">
        <v>692</v>
      </c>
      <c r="B30" s="11" t="str">
        <f>VLOOKUP(Tox_table[[#This Row],[Marker name]],BaseInfos_Table[],3,FALSE)</f>
        <v>12037-29-5</v>
      </c>
    </row>
    <row r="31" spans="1:16" x14ac:dyDescent="0.3">
      <c r="A31" s="10" t="s">
        <v>693</v>
      </c>
      <c r="B31" s="11" t="str">
        <f>VLOOKUP(Tox_table[[#This Row],[Marker name]],BaseInfos_Table[],3,FALSE)</f>
        <v>12061-16-4</v>
      </c>
    </row>
    <row r="32" spans="1:16" x14ac:dyDescent="0.3">
      <c r="A32" s="10" t="s">
        <v>694</v>
      </c>
      <c r="B32" s="11" t="str">
        <f>VLOOKUP(Tox_table[[#This Row],[Marker name]],BaseInfos_Table[],3,FALSE)</f>
        <v>1314-37-0</v>
      </c>
    </row>
    <row r="33" spans="1:2" x14ac:dyDescent="0.3">
      <c r="A33" s="10" t="s">
        <v>695</v>
      </c>
      <c r="B33" s="11" t="str">
        <f>VLOOKUP(Tox_table[[#This Row],[Marker name]],BaseInfos_Table[],3,FALSE)</f>
        <v>68585-82-0</v>
      </c>
    </row>
    <row r="34" spans="1:2" x14ac:dyDescent="0.3">
      <c r="A34" s="10" t="s">
        <v>696</v>
      </c>
      <c r="B34" s="11" t="str">
        <f>VLOOKUP(Tox_table[[#This Row],[Marker name]],BaseInfos_Table[],3,FALSE)</f>
        <v>63774-55-0</v>
      </c>
    </row>
    <row r="35" spans="1:2" x14ac:dyDescent="0.3">
      <c r="A35" s="10" t="s">
        <v>398</v>
      </c>
      <c r="B35" s="11" t="str">
        <f>VLOOKUP(Tox_table[[#This Row],[Marker name]],BaseInfos_Table[],3,FALSE)</f>
        <v>1309-48-4</v>
      </c>
    </row>
    <row r="36" spans="1:2" x14ac:dyDescent="0.3">
      <c r="A36" s="16" t="s">
        <v>697</v>
      </c>
      <c r="B36" s="11" t="str">
        <f>VLOOKUP(Tox_table[[#This Row],[Marker name]],BaseInfos_Table[],3,FALSE)</f>
        <v>12060-58-1</v>
      </c>
    </row>
    <row r="37" spans="1:2" ht="16.5" x14ac:dyDescent="0.3">
      <c r="A37" s="16" t="s">
        <v>698</v>
      </c>
      <c r="B37" s="11" t="str">
        <f>VLOOKUP(Tox_table[[#This Row],[Marker name]],BaseInfos_Table[],3,FALSE)</f>
        <v>68585-83-1</v>
      </c>
    </row>
    <row r="38" spans="1:2" x14ac:dyDescent="0.3">
      <c r="A38" s="16" t="s">
        <v>699</v>
      </c>
      <c r="B38" s="11" t="str">
        <f>VLOOKUP(Tox_table[[#This Row],[Marker name]],BaseInfos_Table[],3,FALSE)</f>
        <v>68609-38-1</v>
      </c>
    </row>
    <row r="39" spans="1:2" ht="16.5" x14ac:dyDescent="0.3">
      <c r="A39" s="16" t="s">
        <v>700</v>
      </c>
      <c r="B39" s="11" t="str">
        <f>VLOOKUP(Tox_table[[#This Row],[Marker name]],BaseInfos_Table[],3,FALSE)</f>
        <v>n.a.</v>
      </c>
    </row>
    <row r="40" spans="1:2" ht="16.5" x14ac:dyDescent="0.3">
      <c r="A40" s="16" t="s">
        <v>701</v>
      </c>
      <c r="B40" s="11" t="str">
        <f>VLOOKUP(Tox_table[[#This Row],[Marker name]],BaseInfos_Table[],3,FALSE)</f>
        <v>n.a.</v>
      </c>
    </row>
    <row r="41" spans="1:2" ht="16.5" x14ac:dyDescent="0.3">
      <c r="A41" s="16" t="s">
        <v>702</v>
      </c>
      <c r="B41" s="11" t="str">
        <f>VLOOKUP(Tox_table[[#This Row],[Marker name]],BaseInfos_Table[],3,FALSE)</f>
        <v>n.a.</v>
      </c>
    </row>
    <row r="42" spans="1:2" x14ac:dyDescent="0.3">
      <c r="A42" s="16" t="s">
        <v>703</v>
      </c>
      <c r="B42" s="11" t="str">
        <f>VLOOKUP(Tox_table[[#This Row],[Marker name]],BaseInfos_Table[],3,FALSE)</f>
        <v>12024-21-4</v>
      </c>
    </row>
    <row r="43" spans="1:2" ht="16.5" x14ac:dyDescent="0.3">
      <c r="A43" s="16" t="s">
        <v>704</v>
      </c>
      <c r="B43" s="11" t="str">
        <f>VLOOKUP(Tox_table[[#This Row],[Marker name]],BaseInfos_Table[],3,FALSE)</f>
        <v>n.a.</v>
      </c>
    </row>
    <row r="44" spans="1:2" ht="16.5" x14ac:dyDescent="0.3">
      <c r="A44" s="16" t="s">
        <v>705</v>
      </c>
      <c r="B44" s="11" t="str">
        <f>VLOOKUP(Tox_table[[#This Row],[Marker name]],BaseInfos_Table[],3,FALSE)</f>
        <v>n.a.</v>
      </c>
    </row>
    <row r="45" spans="1:2" x14ac:dyDescent="0.3">
      <c r="A45" s="10" t="s">
        <v>706</v>
      </c>
      <c r="B45" s="11" t="str">
        <f>VLOOKUP(Tox_table[[#This Row],[Marker name]],BaseInfos_Table[],3,FALSE)</f>
        <v>12036-44-1</v>
      </c>
    </row>
    <row r="46" spans="1:2" x14ac:dyDescent="0.3">
      <c r="A46" s="10" t="s">
        <v>707</v>
      </c>
      <c r="B46" s="11" t="str">
        <f>VLOOKUP(Tox_table[[#This Row],[Marker name]],BaseInfos_Table[],3,FALSE)</f>
        <v>12037-01-3</v>
      </c>
    </row>
    <row r="47" spans="1:2" x14ac:dyDescent="0.3">
      <c r="A47" s="10" t="s">
        <v>708</v>
      </c>
      <c r="B47" s="11" t="str">
        <f>VLOOKUP(Tox_table[[#This Row],[Marker name]],BaseInfos_Table[],3,FALSE)</f>
        <v>12036-41-8</v>
      </c>
    </row>
    <row r="48" spans="1:2" x14ac:dyDescent="0.3">
      <c r="A48" s="10" t="s">
        <v>434</v>
      </c>
      <c r="B48" s="11" t="str">
        <f>VLOOKUP(Tox_table[[#This Row],[Marker name]],BaseInfos_Table[],3,FALSE)</f>
        <v>578-95-0</v>
      </c>
    </row>
    <row r="49" spans="1:2" x14ac:dyDescent="0.3">
      <c r="A49" s="10" t="s">
        <v>439</v>
      </c>
      <c r="B49" s="11" t="str">
        <f>VLOOKUP(Tox_table[[#This Row],[Marker name]],BaseInfos_Table[],3,FALSE)</f>
        <v>38609-97-1</v>
      </c>
    </row>
    <row r="50" spans="1:2" x14ac:dyDescent="0.3">
      <c r="A50" s="10" t="s">
        <v>437</v>
      </c>
      <c r="B50" s="11" t="str">
        <f>VLOOKUP(Tox_table[[#This Row],[Marker name]],BaseInfos_Table[],3,FALSE)</f>
        <v>n.a.</v>
      </c>
    </row>
    <row r="51" spans="1:2" x14ac:dyDescent="0.3">
      <c r="A51" s="10" t="s">
        <v>438</v>
      </c>
      <c r="B51" s="11" t="str">
        <f>VLOOKUP(Tox_table[[#This Row],[Marker name]],BaseInfos_Table[],3,FALSE)</f>
        <v>n.a.</v>
      </c>
    </row>
    <row r="52" spans="1:2" x14ac:dyDescent="0.3">
      <c r="A52" s="10" t="s">
        <v>442</v>
      </c>
      <c r="B52" s="11" t="str">
        <f>VLOOKUP(Tox_table[[#This Row],[Marker name]],BaseInfos_Table[],3,FALSE)</f>
        <v>n.a.</v>
      </c>
    </row>
    <row r="53" spans="1:2" x14ac:dyDescent="0.3">
      <c r="A53" s="10" t="s">
        <v>443</v>
      </c>
      <c r="B53" s="11" t="str">
        <f>VLOOKUP(Tox_table[[#This Row],[Marker name]],BaseInfos_Table[],3,FALSE)</f>
        <v>n.a.</v>
      </c>
    </row>
    <row r="54" spans="1:2" x14ac:dyDescent="0.3">
      <c r="A54" s="10" t="s">
        <v>444</v>
      </c>
      <c r="B54" s="11" t="str">
        <f>VLOOKUP(Tox_table[[#This Row],[Marker name]],BaseInfos_Table[],3,FALSE)</f>
        <v>n.a.</v>
      </c>
    </row>
    <row r="55" spans="1:2" x14ac:dyDescent="0.3">
      <c r="A55" s="10" t="s">
        <v>445</v>
      </c>
      <c r="B55" s="11" t="str">
        <f>VLOOKUP(Tox_table[[#This Row],[Marker name]],BaseInfos_Table[],3,FALSE)</f>
        <v>24782-64-7</v>
      </c>
    </row>
    <row r="56" spans="1:2" x14ac:dyDescent="0.3">
      <c r="A56" s="10" t="s">
        <v>446</v>
      </c>
      <c r="B56" s="11" t="str">
        <f>VLOOKUP(Tox_table[[#This Row],[Marker name]],BaseInfos_Table[],3,FALSE)</f>
        <v>n.a.</v>
      </c>
    </row>
    <row r="57" spans="1:2" x14ac:dyDescent="0.3">
      <c r="A57" s="10" t="s">
        <v>447</v>
      </c>
      <c r="B57" s="11" t="str">
        <f>VLOOKUP(Tox_table[[#This Row],[Marker name]],BaseInfos_Table[],3,FALSE)</f>
        <v>n.a.</v>
      </c>
    </row>
    <row r="58" spans="1:2" x14ac:dyDescent="0.3">
      <c r="A58" s="10" t="s">
        <v>448</v>
      </c>
      <c r="B58" s="11" t="str">
        <f>VLOOKUP(Tox_table[[#This Row],[Marker name]],BaseInfos_Table[],3,FALSE)</f>
        <v>n.a.</v>
      </c>
    </row>
    <row r="59" spans="1:2" x14ac:dyDescent="0.3">
      <c r="A59" s="10" t="s">
        <v>449</v>
      </c>
      <c r="B59" s="11" t="str">
        <f>VLOOKUP(Tox_table[[#This Row],[Marker name]],BaseInfos_Table[],3,FALSE)</f>
        <v>n.a.</v>
      </c>
    </row>
    <row r="60" spans="1:2" x14ac:dyDescent="0.3">
      <c r="A60" s="10" t="s">
        <v>450</v>
      </c>
      <c r="B60" s="11" t="str">
        <f>VLOOKUP(Tox_table[[#This Row],[Marker name]],BaseInfos_Table[],3,FALSE)</f>
        <v>n.a.</v>
      </c>
    </row>
    <row r="61" spans="1:2" x14ac:dyDescent="0.3">
      <c r="A61" s="10" t="s">
        <v>451</v>
      </c>
      <c r="B61" s="11" t="str">
        <f>VLOOKUP(Tox_table[[#This Row],[Marker name]],BaseInfos_Table[],3,FALSE)</f>
        <v>n.a.</v>
      </c>
    </row>
    <row r="62" spans="1:2" x14ac:dyDescent="0.3">
      <c r="A62" s="10" t="s">
        <v>452</v>
      </c>
      <c r="B62" s="11" t="str">
        <f>VLOOKUP(Tox_table[[#This Row],[Marker name]],BaseInfos_Table[],3,FALSE)</f>
        <v>n.a.</v>
      </c>
    </row>
    <row r="63" spans="1:2" x14ac:dyDescent="0.3">
      <c r="A63" s="10" t="s">
        <v>453</v>
      </c>
      <c r="B63" s="11" t="str">
        <f>VLOOKUP(Tox_table[[#This Row],[Marker name]],BaseInfos_Table[],3,FALSE)</f>
        <v>n.a.</v>
      </c>
    </row>
    <row r="64" spans="1:2" x14ac:dyDescent="0.3">
      <c r="A64" s="10" t="s">
        <v>454</v>
      </c>
      <c r="B64" s="11" t="str">
        <f>VLOOKUP(Tox_table[[#This Row],[Marker name]],BaseInfos_Table[],3,FALSE)</f>
        <v>n.a.</v>
      </c>
    </row>
    <row r="65" spans="1:2" x14ac:dyDescent="0.3">
      <c r="A65" s="10" t="s">
        <v>455</v>
      </c>
      <c r="B65" s="11" t="str">
        <f>VLOOKUP(Tox_table[[#This Row],[Marker name]],BaseInfos_Table[],3,FALSE)</f>
        <v>134272-64-3</v>
      </c>
    </row>
    <row r="66" spans="1:2" x14ac:dyDescent="0.3">
      <c r="A66" s="10" t="s">
        <v>465</v>
      </c>
      <c r="B66" s="11" t="str">
        <f>VLOOKUP(Tox_table[[#This Row],[Marker name]],BaseInfos_Table[],3,FALSE)</f>
        <v>n.a.</v>
      </c>
    </row>
    <row r="67" spans="1:2" x14ac:dyDescent="0.3">
      <c r="A67" s="10" t="s">
        <v>466</v>
      </c>
      <c r="B67" s="11" t="str">
        <f>VLOOKUP(Tox_table[[#This Row],[Marker name]],BaseInfos_Table[],3,FALSE)</f>
        <v>n.a.</v>
      </c>
    </row>
    <row r="68" spans="1:2" x14ac:dyDescent="0.3">
      <c r="A68" s="10" t="s">
        <v>467</v>
      </c>
      <c r="B68" s="11" t="str">
        <f>VLOOKUP(Tox_table[[#This Row],[Marker name]],BaseInfos_Table[],3,FALSE)</f>
        <v>n.a.</v>
      </c>
    </row>
    <row r="69" spans="1:2" x14ac:dyDescent="0.3">
      <c r="A69" s="10" t="s">
        <v>468</v>
      </c>
      <c r="B69" s="11" t="str">
        <f>VLOOKUP(Tox_table[[#This Row],[Marker name]],BaseInfos_Table[],3,FALSE)</f>
        <v>n.a.</v>
      </c>
    </row>
    <row r="70" spans="1:2" x14ac:dyDescent="0.3">
      <c r="A70" s="10" t="s">
        <v>709</v>
      </c>
      <c r="B70" s="11" t="str">
        <f>VLOOKUP(Tox_table[[#This Row],[Marker name]],BaseInfos_Table[],3,FALSE)</f>
        <v>12027-88-2</v>
      </c>
    </row>
    <row r="71" spans="1:2" ht="16.5" x14ac:dyDescent="0.3">
      <c r="A71" s="10" t="s">
        <v>710</v>
      </c>
      <c r="B71" s="11" t="str">
        <f>VLOOKUP(Tox_table[[#This Row],[Marker name]],BaseInfos_Table[],3,FALSE)</f>
        <v>n.a.</v>
      </c>
    </row>
    <row r="72" spans="1:2" ht="16.5" x14ac:dyDescent="0.3">
      <c r="A72" s="10" t="s">
        <v>711</v>
      </c>
      <c r="B72" s="11" t="str">
        <f>VLOOKUP(Tox_table[[#This Row],[Marker name]],BaseInfos_Table[],3,FALSE)</f>
        <v>n.a.</v>
      </c>
    </row>
    <row r="73" spans="1:2" x14ac:dyDescent="0.3">
      <c r="A73" s="10" t="s">
        <v>712</v>
      </c>
      <c r="B73" s="11" t="str">
        <f>VLOOKUP(Tox_table[[#This Row],[Marker name]],BaseInfos_Table[],3,FALSE)</f>
        <v>12005-21-9</v>
      </c>
    </row>
    <row r="74" spans="1:2" x14ac:dyDescent="0.3">
      <c r="A74" s="10" t="s">
        <v>525</v>
      </c>
      <c r="B74" s="11" t="str">
        <f>VLOOKUP(Tox_table[[#This Row],[Marker name]],BaseInfos_Table[],3,FALSE)</f>
        <v>n.a.</v>
      </c>
    </row>
    <row r="75" spans="1:2" x14ac:dyDescent="0.3">
      <c r="A75" s="10" t="s">
        <v>578</v>
      </c>
      <c r="B75" s="11" t="str">
        <f>VLOOKUP(Tox_table[[#This Row],[Marker name]],BaseInfos_Table[],3,FALSE)</f>
        <v>1345-25-1</v>
      </c>
    </row>
    <row r="76" spans="1:2" x14ac:dyDescent="0.3">
      <c r="A76" s="10" t="s">
        <v>573</v>
      </c>
      <c r="B76" s="11" t="str">
        <f>VLOOKUP(Tox_table[[#This Row],[Marker name]],BaseInfos_Table[],3,FALSE)</f>
        <v>1314-13-2</v>
      </c>
    </row>
    <row r="77" spans="1:2" x14ac:dyDescent="0.3">
      <c r="A77" s="10" t="s">
        <v>713</v>
      </c>
      <c r="B77" s="11" t="str">
        <f>VLOOKUP(Tox_table[[#This Row],[Marker name]],BaseInfos_Table[],3,FALSE)</f>
        <v>12063-19-3</v>
      </c>
    </row>
    <row r="78" spans="1:2" x14ac:dyDescent="0.3">
      <c r="A78" s="10" t="s">
        <v>714</v>
      </c>
      <c r="B78" s="11" t="str">
        <f>VLOOKUP(Tox_table[[#This Row],[Marker name]],BaseInfos_Table[],3,FALSE)</f>
        <v>1309-37-1</v>
      </c>
    </row>
    <row r="79" spans="1:2" x14ac:dyDescent="0.3">
      <c r="A79" s="10" t="s">
        <v>715</v>
      </c>
      <c r="B79" s="11" t="str">
        <f>VLOOKUP(Tox_table[[#This Row],[Marker name]],BaseInfos_Table[],3,FALSE)</f>
        <v>1317-61-9</v>
      </c>
    </row>
    <row r="80" spans="1:2" x14ac:dyDescent="0.3">
      <c r="A80" s="10" t="s">
        <v>601</v>
      </c>
      <c r="B80" s="11" t="str">
        <f>VLOOKUP(Tox_table[[#This Row],[Marker name]],BaseInfos_Table[],3,FALSE)</f>
        <v>n.a.</v>
      </c>
    </row>
    <row r="81" spans="1:2" x14ac:dyDescent="0.3">
      <c r="A81" s="10" t="s">
        <v>602</v>
      </c>
      <c r="B81" s="11" t="str">
        <f>VLOOKUP(Tox_table[[#This Row],[Marker name]],BaseInfos_Table[],3,FALSE)</f>
        <v>7440-44-0</v>
      </c>
    </row>
    <row r="82" spans="1:2" x14ac:dyDescent="0.3">
      <c r="B82" s="11" t="e">
        <f>VLOOKUP(Tox_table[[#This Row],[Marker name]],BaseInfos_Table[],3,FALSE)</f>
        <v>#N/A</v>
      </c>
    </row>
    <row r="83" spans="1:2" x14ac:dyDescent="0.3">
      <c r="B83" s="11" t="e">
        <f>VLOOKUP(Tox_table[[#This Row],[Marker name]],BaseInfos_Table[],3,FALSE)</f>
        <v>#N/A</v>
      </c>
    </row>
    <row r="84" spans="1:2" x14ac:dyDescent="0.3">
      <c r="B84" s="11" t="e">
        <f>VLOOKUP(Tox_table[[#This Row],[Marker name]],BaseInfos_Table[],3,FALSE)</f>
        <v>#N/A</v>
      </c>
    </row>
    <row r="85" spans="1:2" x14ac:dyDescent="0.3">
      <c r="B85" s="11" t="e">
        <f>VLOOKUP(Tox_table[[#This Row],[Marker name]],BaseInfos_Table[],3,FALSE)</f>
        <v>#N/A</v>
      </c>
    </row>
    <row r="86" spans="1:2" x14ac:dyDescent="0.3">
      <c r="B86" s="11" t="e">
        <f>VLOOKUP(Tox_table[[#This Row],[Marker name]],BaseInfos_Table[],3,FALSE)</f>
        <v>#N/A</v>
      </c>
    </row>
    <row r="87" spans="1:2" x14ac:dyDescent="0.3">
      <c r="B87" s="11" t="e">
        <f>VLOOKUP(Tox_table[[#This Row],[Marker name]],BaseInfos_Table[],3,FALSE)</f>
        <v>#N/A</v>
      </c>
    </row>
    <row r="88" spans="1:2" x14ac:dyDescent="0.3">
      <c r="B88" s="11" t="e">
        <f>VLOOKUP(Tox_table[[#This Row],[Marker name]],BaseInfos_Table[],3,FALSE)</f>
        <v>#N/A</v>
      </c>
    </row>
    <row r="89" spans="1:2" x14ac:dyDescent="0.3">
      <c r="B89" s="11" t="e">
        <f>VLOOKUP(Tox_table[[#This Row],[Marker name]],BaseInfos_Table[],3,FALSE)</f>
        <v>#N/A</v>
      </c>
    </row>
    <row r="90" spans="1:2" x14ac:dyDescent="0.3">
      <c r="B90" s="11" t="e">
        <f>VLOOKUP(Tox_table[[#This Row],[Marker name]],BaseInfos_Table[],3,FALSE)</f>
        <v>#N/A</v>
      </c>
    </row>
    <row r="91" spans="1:2" x14ac:dyDescent="0.3">
      <c r="B91" s="11" t="e">
        <f>VLOOKUP(Tox_table[[#This Row],[Marker name]],BaseInfos_Table[],3,FALSE)</f>
        <v>#N/A</v>
      </c>
    </row>
    <row r="92" spans="1:2" x14ac:dyDescent="0.3">
      <c r="B92" s="11" t="e">
        <f>VLOOKUP(Tox_table[[#This Row],[Marker name]],BaseInfos_Table[],3,FALSE)</f>
        <v>#N/A</v>
      </c>
    </row>
    <row r="93" spans="1:2" x14ac:dyDescent="0.3">
      <c r="B93" s="11" t="e">
        <f>VLOOKUP(Tox_table[[#This Row],[Marker name]],BaseInfos_Table[],3,FALSE)</f>
        <v>#N/A</v>
      </c>
    </row>
    <row r="94" spans="1:2" x14ac:dyDescent="0.3">
      <c r="B94" s="11" t="e">
        <f>VLOOKUP(Tox_table[[#This Row],[Marker name]],BaseInfos_Table[],3,FALSE)</f>
        <v>#N/A</v>
      </c>
    </row>
    <row r="95" spans="1:2" x14ac:dyDescent="0.3">
      <c r="B95" s="11" t="e">
        <f>VLOOKUP(Tox_table[[#This Row],[Marker name]],BaseInfos_Table[],3,FALSE)</f>
        <v>#N/A</v>
      </c>
    </row>
  </sheetData>
  <pageMargins left="0.7" right="0.7" top="0.75" bottom="0.75"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zoomScaleNormal="100" workbookViewId="0">
      <selection activeCell="V19" sqref="V19"/>
    </sheetView>
  </sheetViews>
  <sheetFormatPr baseColWidth="10" defaultColWidth="9.28515625" defaultRowHeight="15" x14ac:dyDescent="0.25"/>
  <cols>
    <col min="9" max="9" width="9.85546875" bestFit="1" customWidth="1"/>
    <col min="15" max="15" width="9.85546875" bestFit="1" customWidth="1"/>
  </cols>
  <sheetData>
    <row r="1" spans="1:20" x14ac:dyDescent="0.25">
      <c r="A1" s="52" t="s">
        <v>771</v>
      </c>
      <c r="B1" s="52"/>
      <c r="C1" s="52"/>
      <c r="D1" s="52"/>
      <c r="E1" s="52"/>
      <c r="F1" s="52"/>
      <c r="G1" s="52"/>
      <c r="H1" s="52"/>
      <c r="I1" s="52"/>
      <c r="J1" s="52"/>
      <c r="K1" s="52"/>
      <c r="L1" s="52"/>
      <c r="M1" s="52"/>
      <c r="N1" s="52"/>
      <c r="O1" s="52"/>
      <c r="P1" s="52"/>
      <c r="Q1" s="52"/>
      <c r="R1" s="52"/>
      <c r="S1" s="52"/>
      <c r="T1" s="52"/>
    </row>
    <row r="29" spans="15:15" x14ac:dyDescent="0.25">
      <c r="O29" s="6"/>
    </row>
    <row r="33" spans="15:15" x14ac:dyDescent="0.25">
      <c r="O33" s="6"/>
    </row>
  </sheetData>
  <mergeCells count="1">
    <mergeCell ref="A1:T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5"/>
  <sheetViews>
    <sheetView showGridLines="0" topLeftCell="B1" zoomScaleNormal="100" workbookViewId="0">
      <selection activeCell="B1" sqref="B1:J1"/>
    </sheetView>
  </sheetViews>
  <sheetFormatPr baseColWidth="10" defaultColWidth="9.28515625" defaultRowHeight="15" x14ac:dyDescent="0.25"/>
  <cols>
    <col min="2" max="2" width="17.42578125" customWidth="1"/>
    <col min="3" max="3" width="14.85546875" customWidth="1"/>
    <col min="4" max="4" width="8.7109375" customWidth="1"/>
    <col min="5" max="5" width="21.85546875" customWidth="1"/>
    <col min="6" max="6" width="10.85546875" customWidth="1"/>
    <col min="7" max="7" width="40.42578125" customWidth="1"/>
    <col min="8" max="8" width="10.140625" customWidth="1"/>
    <col min="9" max="9" width="44" customWidth="1"/>
    <col min="10" max="10" width="22.5703125" customWidth="1"/>
    <col min="11" max="11" width="60.5703125" customWidth="1"/>
    <col min="13" max="13" width="28.85546875" customWidth="1"/>
  </cols>
  <sheetData>
    <row r="1" spans="2:13" x14ac:dyDescent="0.25">
      <c r="B1" s="52" t="s">
        <v>765</v>
      </c>
      <c r="C1" s="52"/>
      <c r="D1" s="52"/>
      <c r="E1" s="52"/>
      <c r="F1" s="52"/>
      <c r="G1" s="52"/>
      <c r="H1" s="52"/>
      <c r="I1" s="52"/>
      <c r="J1" s="52"/>
    </row>
    <row r="5" spans="2:13" x14ac:dyDescent="0.25">
      <c r="G5" s="3"/>
      <c r="K5" s="3"/>
    </row>
    <row r="6" spans="2:13" x14ac:dyDescent="0.25">
      <c r="G6" s="4"/>
      <c r="K6" s="4"/>
    </row>
    <row r="7" spans="2:13" x14ac:dyDescent="0.25">
      <c r="E7" s="3"/>
      <c r="G7" s="1"/>
      <c r="H7" s="4"/>
      <c r="I7" s="1"/>
      <c r="J7" s="4"/>
      <c r="K7" s="1"/>
      <c r="L7" s="4"/>
      <c r="M7" s="1"/>
    </row>
    <row r="8" spans="2:13" x14ac:dyDescent="0.25">
      <c r="E8" s="4"/>
      <c r="G8" s="4"/>
      <c r="I8" s="2"/>
      <c r="M8" s="2"/>
    </row>
    <row r="9" spans="2:13" x14ac:dyDescent="0.25">
      <c r="C9" s="1"/>
      <c r="D9" s="4"/>
      <c r="E9" s="1"/>
      <c r="F9" s="4"/>
      <c r="G9" s="1"/>
      <c r="H9" s="4"/>
      <c r="I9" s="1"/>
      <c r="J9" s="4"/>
      <c r="M9" s="1"/>
    </row>
    <row r="10" spans="2:13" x14ac:dyDescent="0.25">
      <c r="C10" s="4"/>
      <c r="G10" s="4"/>
      <c r="I10" s="4"/>
    </row>
    <row r="11" spans="2:13" x14ac:dyDescent="0.25">
      <c r="C11" s="1"/>
      <c r="D11" s="5"/>
      <c r="G11" s="1"/>
      <c r="H11" s="4"/>
      <c r="I11" s="1"/>
      <c r="J11" s="4"/>
    </row>
    <row r="12" spans="2:13" x14ac:dyDescent="0.25">
      <c r="C12" s="5"/>
      <c r="G12" s="4"/>
      <c r="I12" s="4"/>
    </row>
    <row r="13" spans="2:13" x14ac:dyDescent="0.25">
      <c r="C13" s="1"/>
      <c r="D13" s="4"/>
      <c r="E13" s="1"/>
      <c r="G13" s="1"/>
      <c r="H13" s="4"/>
      <c r="I13" s="1"/>
      <c r="J13" s="4"/>
    </row>
    <row r="14" spans="2:13" x14ac:dyDescent="0.25">
      <c r="C14" s="4"/>
      <c r="G14" s="4"/>
      <c r="I14" s="4"/>
    </row>
    <row r="15" spans="2:13" x14ac:dyDescent="0.25">
      <c r="C15" s="3"/>
      <c r="G15" s="3"/>
      <c r="I15" s="3"/>
    </row>
  </sheetData>
  <mergeCells count="1">
    <mergeCell ref="B1:J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92"/>
  <sheetViews>
    <sheetView zoomScaleNormal="100" workbookViewId="0">
      <pane xSplit="1" topLeftCell="B1" activePane="topRight" state="frozen"/>
      <selection pane="topRight" activeCell="A9" sqref="A9"/>
    </sheetView>
  </sheetViews>
  <sheetFormatPr baseColWidth="10" defaultColWidth="9.28515625" defaultRowHeight="15" outlineLevelCol="1" x14ac:dyDescent="0.3"/>
  <cols>
    <col min="1" max="1" width="93.28515625" style="8" bestFit="1" customWidth="1"/>
    <col min="2" max="2" width="27.42578125" style="8" customWidth="1" outlineLevel="1"/>
    <col min="3" max="4" width="20.140625" style="8" customWidth="1" outlineLevel="1"/>
    <col min="5" max="5" width="45.42578125" style="8" customWidth="1" outlineLevel="1"/>
    <col min="6" max="6" width="18.42578125" style="8" bestFit="1" customWidth="1" outlineLevel="1"/>
    <col min="7" max="7" width="33.28515625" style="8" customWidth="1" outlineLevel="1"/>
    <col min="8" max="8" width="16" style="8" customWidth="1" outlineLevel="1"/>
    <col min="9" max="9" width="16.28515625" style="8" customWidth="1" outlineLevel="1"/>
    <col min="10" max="10" width="11.7109375" style="8" customWidth="1" outlineLevel="1"/>
    <col min="11" max="11" width="18.42578125" style="8" customWidth="1" outlineLevel="1"/>
    <col min="12" max="12" width="26" style="8" customWidth="1" outlineLevel="1"/>
    <col min="13" max="15" width="32.5703125" style="8" customWidth="1" outlineLevel="1"/>
    <col min="16" max="18" width="11.28515625" style="8" customWidth="1" outlineLevel="1"/>
    <col min="19" max="19" width="18" style="8" customWidth="1" outlineLevel="1"/>
    <col min="20" max="20" width="11.28515625" style="8" customWidth="1" outlineLevel="1"/>
    <col min="21" max="21" width="16.140625" style="8" customWidth="1" outlineLevel="1"/>
    <col min="22" max="22" width="19.28515625" style="8" customWidth="1" outlineLevel="1"/>
    <col min="23" max="23" width="15.85546875" style="8" customWidth="1" outlineLevel="1"/>
    <col min="24" max="24" width="26" style="8" customWidth="1" outlineLevel="1"/>
    <col min="25" max="25" width="17.7109375" style="8" customWidth="1" outlineLevel="1"/>
    <col min="26" max="26" width="11.28515625" style="8" customWidth="1" outlineLevel="1"/>
    <col min="27" max="27" width="15.42578125" style="8" customWidth="1" outlineLevel="1"/>
    <col min="28" max="28" width="16.140625" style="8" customWidth="1" outlineLevel="1"/>
    <col min="29" max="29" width="15.28515625" style="8" customWidth="1" outlineLevel="1"/>
    <col min="30" max="31" width="14" style="8" customWidth="1" outlineLevel="1"/>
    <col min="32" max="32" width="19" style="8" customWidth="1" outlineLevel="1"/>
    <col min="33" max="33" width="18.85546875" style="8" customWidth="1" outlineLevel="1"/>
    <col min="34" max="34" width="18" style="8" customWidth="1" outlineLevel="1"/>
    <col min="35" max="35" width="11.28515625" style="8" customWidth="1" outlineLevel="1"/>
    <col min="36" max="36" width="16" style="8" customWidth="1" outlineLevel="1"/>
    <col min="37" max="37" width="27.7109375" style="8" customWidth="1" outlineLevel="1"/>
    <col min="38" max="38" width="19.140625" style="8" customWidth="1" outlineLevel="1"/>
    <col min="39" max="39" width="17.140625" style="8" customWidth="1" outlineLevel="1"/>
    <col min="40" max="40" width="24.42578125" style="8" customWidth="1" outlineLevel="1"/>
    <col min="41" max="41" width="71.42578125" style="8" customWidth="1" outlineLevel="1"/>
    <col min="42" max="42" width="59.140625" style="8" customWidth="1" outlineLevel="1"/>
    <col min="43" max="43" width="46.7109375" style="8" customWidth="1" outlineLevel="1"/>
    <col min="44" max="44" width="19.7109375" style="8" customWidth="1" outlineLevel="1"/>
    <col min="45" max="45" width="24.5703125" style="8" customWidth="1" outlineLevel="1"/>
    <col min="46" max="46" width="11.7109375" style="8" customWidth="1" outlineLevel="1"/>
    <col min="47" max="47" width="21.85546875" style="8" customWidth="1"/>
    <col min="48" max="48" width="93.85546875" style="8" bestFit="1" customWidth="1"/>
    <col min="49" max="16384" width="9.28515625" style="8"/>
  </cols>
  <sheetData>
    <row r="1" spans="1:48" s="35" customFormat="1" x14ac:dyDescent="0.3">
      <c r="A1" s="39" t="s">
        <v>770</v>
      </c>
      <c r="B1" s="53"/>
      <c r="C1" s="53"/>
      <c r="D1" s="53"/>
      <c r="E1" s="53"/>
      <c r="F1" s="53"/>
      <c r="G1" s="53"/>
      <c r="H1" s="53"/>
      <c r="I1" s="53"/>
      <c r="J1" s="53"/>
      <c r="K1" s="53"/>
      <c r="L1" s="53" t="s">
        <v>766</v>
      </c>
      <c r="M1" s="53"/>
      <c r="N1" s="53"/>
      <c r="O1" s="53"/>
      <c r="P1" s="53" t="s">
        <v>767</v>
      </c>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row>
    <row r="2" spans="1:48" s="35" customFormat="1" ht="15.75" thickBot="1" x14ac:dyDescent="0.35">
      <c r="A2" s="37"/>
      <c r="B2" s="53"/>
      <c r="C2" s="53"/>
      <c r="D2" s="53"/>
      <c r="E2" s="53"/>
      <c r="F2" s="53"/>
      <c r="G2" s="53"/>
      <c r="H2" s="53"/>
      <c r="I2" s="53"/>
      <c r="J2" s="53"/>
      <c r="K2" s="53"/>
      <c r="L2" s="37" t="s">
        <v>4</v>
      </c>
      <c r="M2" s="54" t="s">
        <v>256</v>
      </c>
      <c r="N2" s="54"/>
      <c r="O2" s="54"/>
      <c r="P2" s="53" t="s">
        <v>58</v>
      </c>
      <c r="Q2" s="53"/>
      <c r="R2" s="53" t="s">
        <v>111</v>
      </c>
      <c r="S2" s="53"/>
      <c r="T2" s="53" t="s">
        <v>112</v>
      </c>
      <c r="U2" s="53"/>
      <c r="V2" s="53" t="s">
        <v>75</v>
      </c>
      <c r="W2" s="53"/>
      <c r="X2" s="34" t="s">
        <v>59</v>
      </c>
      <c r="Y2" s="53" t="s">
        <v>113</v>
      </c>
      <c r="Z2" s="53"/>
      <c r="AA2" s="53" t="s">
        <v>71</v>
      </c>
      <c r="AB2" s="53"/>
      <c r="AC2" s="53" t="s">
        <v>114</v>
      </c>
      <c r="AD2" s="53"/>
      <c r="AE2" s="53" t="s">
        <v>115</v>
      </c>
      <c r="AF2" s="53"/>
      <c r="AG2" s="53"/>
      <c r="AH2" s="34" t="s">
        <v>60</v>
      </c>
      <c r="AI2" s="53" t="s">
        <v>116</v>
      </c>
      <c r="AJ2" s="53"/>
      <c r="AK2" s="34" t="s">
        <v>490</v>
      </c>
      <c r="AL2" s="34" t="s">
        <v>61</v>
      </c>
      <c r="AM2" s="34" t="s">
        <v>62</v>
      </c>
      <c r="AN2" s="34" t="s">
        <v>63</v>
      </c>
      <c r="AO2" s="34" t="s">
        <v>64</v>
      </c>
      <c r="AP2" s="34" t="s">
        <v>65</v>
      </c>
      <c r="AQ2" s="34" t="s">
        <v>66</v>
      </c>
      <c r="AR2" s="34" t="s">
        <v>67</v>
      </c>
      <c r="AS2" s="34" t="s">
        <v>68</v>
      </c>
      <c r="AT2" s="34" t="s">
        <v>69</v>
      </c>
      <c r="AU2" s="53" t="s">
        <v>655</v>
      </c>
      <c r="AV2" s="53"/>
    </row>
    <row r="3" spans="1:48" x14ac:dyDescent="0.3">
      <c r="A3" s="36" t="s">
        <v>40</v>
      </c>
      <c r="B3" s="10" t="s">
        <v>15</v>
      </c>
      <c r="C3" s="10" t="s">
        <v>717</v>
      </c>
      <c r="D3" s="10" t="s">
        <v>768</v>
      </c>
      <c r="E3" s="10" t="s">
        <v>769</v>
      </c>
      <c r="F3" s="10" t="s">
        <v>735</v>
      </c>
      <c r="G3" s="10" t="s">
        <v>18</v>
      </c>
      <c r="H3" s="10" t="s">
        <v>16</v>
      </c>
      <c r="I3" s="10" t="s">
        <v>4</v>
      </c>
      <c r="J3" s="10" t="s">
        <v>24</v>
      </c>
      <c r="K3" s="10" t="s">
        <v>637</v>
      </c>
      <c r="L3" s="8" t="s">
        <v>257</v>
      </c>
      <c r="M3" s="8" t="s">
        <v>527</v>
      </c>
      <c r="N3" s="8" t="s">
        <v>528</v>
      </c>
      <c r="O3" s="8" t="s">
        <v>529</v>
      </c>
      <c r="P3" s="10" t="s">
        <v>78</v>
      </c>
      <c r="Q3" s="10" t="s">
        <v>79</v>
      </c>
      <c r="R3" s="10" t="s">
        <v>634</v>
      </c>
      <c r="S3" s="10" t="s">
        <v>631</v>
      </c>
      <c r="T3" s="10" t="s">
        <v>635</v>
      </c>
      <c r="U3" s="10" t="s">
        <v>632</v>
      </c>
      <c r="V3" s="10" t="s">
        <v>636</v>
      </c>
      <c r="W3" s="10" t="s">
        <v>649</v>
      </c>
      <c r="X3" s="10" t="s">
        <v>491</v>
      </c>
      <c r="Y3" s="10" t="s">
        <v>678</v>
      </c>
      <c r="Z3" s="10" t="s">
        <v>645</v>
      </c>
      <c r="AA3" s="10" t="s">
        <v>88</v>
      </c>
      <c r="AB3" s="10" t="s">
        <v>647</v>
      </c>
      <c r="AC3" s="10" t="s">
        <v>646</v>
      </c>
      <c r="AD3" s="10" t="s">
        <v>648</v>
      </c>
      <c r="AE3" s="10" t="s">
        <v>515</v>
      </c>
      <c r="AF3" s="10" t="s">
        <v>650</v>
      </c>
      <c r="AG3" s="10" t="s">
        <v>651</v>
      </c>
      <c r="AH3" s="10" t="s">
        <v>679</v>
      </c>
      <c r="AI3" s="10" t="s">
        <v>652</v>
      </c>
      <c r="AJ3" s="10" t="s">
        <v>633</v>
      </c>
      <c r="AK3" s="10" t="s">
        <v>489</v>
      </c>
      <c r="AL3" s="10" t="s">
        <v>488</v>
      </c>
      <c r="AM3" s="10" t="s">
        <v>487</v>
      </c>
      <c r="AN3" s="10" t="s">
        <v>486</v>
      </c>
      <c r="AO3" s="10" t="s">
        <v>485</v>
      </c>
      <c r="AP3" s="10" t="s">
        <v>484</v>
      </c>
      <c r="AQ3" s="10" t="s">
        <v>483</v>
      </c>
      <c r="AR3" s="10" t="s">
        <v>482</v>
      </c>
      <c r="AS3" s="10" t="s">
        <v>481</v>
      </c>
      <c r="AT3" s="10" t="s">
        <v>69</v>
      </c>
      <c r="AU3" s="8" t="s">
        <v>654</v>
      </c>
      <c r="AV3" s="8" t="s">
        <v>656</v>
      </c>
    </row>
    <row r="4" spans="1:48" x14ac:dyDescent="0.3">
      <c r="A4" s="10" t="s">
        <v>0</v>
      </c>
      <c r="B4" s="10" t="str">
        <f>VLOOKUP(Table3[[#This Row],[Marker Name / Summenformel]],BaseInfos_Table[],2,FALSE)</f>
        <v>Stilbene cimpound</v>
      </c>
      <c r="C4" s="10" t="str">
        <f>VLOOKUP(Table3[[#This Row],[Marker Name / Summenformel]],BaseInfos_Table[],3,FALSE)</f>
        <v>1533-45-5</v>
      </c>
      <c r="D4" s="10" t="str">
        <f>VLOOKUP(Table3[[#This Row],[Marker Name / Summenformel]],BaseInfos_Table[],4,FALSE)</f>
        <v>216-245-3</v>
      </c>
      <c r="E4" s="10" t="str">
        <f>VLOOKUP(Table3[[#This Row],[Marker Name / Summenformel]],BaseInfos_Table[],5,FALSE)</f>
        <v>Fourati et al. 2013 / The journal of physical chemistry A</v>
      </c>
      <c r="F4" s="10" t="str">
        <f>VLOOKUP(Table3[[#This Row],[Marker Name / Summenformel]],BaseInfos_Table[],6,FALSE)</f>
        <v>UV-Vis</v>
      </c>
      <c r="G4" s="10" t="str">
        <f>VLOOKUP(Table3[[#This Row],[Marker Name / Summenformel]],BaseInfos_Table[],7,FALSE)</f>
        <v>Y</v>
      </c>
      <c r="H4" s="10">
        <f>VLOOKUP(Table3[[#This Row],[Marker Name / Summenformel]],BaseInfos_Table[],8,FALSE)</f>
        <v>100</v>
      </c>
      <c r="I4" s="10" t="str">
        <f>VLOOKUP(Table3[[#This Row],[Marker Name / Summenformel]],BaseInfos_Table[],9,FALSE)</f>
        <v>https://echa.europa.eu/de/substance-information/-/substanceinfo/100.014.769</v>
      </c>
      <c r="J4" s="10" t="str">
        <f>VLOOKUP(Table3[[#This Row],[Marker Name / Summenformel]],BaseInfos_Table[],10,FALSE)</f>
        <v>https://www.sigmaaldrich.com/AT/en/search/1533-45-5?focus=products&amp;page=1&amp;perPage=30&amp;sort=relevance&amp;term=1533-45-5&amp;type=product</v>
      </c>
      <c r="K4" s="10">
        <f>VLOOKUP(Table3[[#This Row],[Marker Name / Summenformel]],BaseInfos_Table[],11,FALSE)</f>
        <v>0</v>
      </c>
      <c r="L4" s="10" t="str">
        <f>VLOOKUP(Table3[[#This Row],[Marker Name / Summenformel]],GHS_Table[#All],3,FALSE)</f>
        <v>REACH</v>
      </c>
      <c r="M4" s="10">
        <f>VLOOKUP(Table3[[#This Row],[Marker Name / Summenformel]],GHS_Table[#All],4,FALSE)</f>
        <v>1</v>
      </c>
      <c r="N4" s="10">
        <f>VLOOKUP(Table3[[#This Row],[Marker Name / Summenformel]],GHS_Table[#All],5,FALSE)</f>
        <v>6</v>
      </c>
      <c r="O4" s="10">
        <f>VLOOKUP(Table3[[#This Row],[Marker Name / Summenformel]],GHS_Table[#All],6,FALSE)</f>
        <v>3</v>
      </c>
      <c r="P4" s="10" t="str">
        <f>VLOOKUP(Table3[[#This Row],[Marker Name / Summenformel]],PhysChem_Table[],3,FALSE)</f>
        <v>crystalline powder</v>
      </c>
      <c r="Q4" s="10" t="str">
        <f>VLOOKUP(Table3[[#This Row],[Marker Name / Summenformel]],PhysChem_Table[],4,FALSE)</f>
        <v>Yellow</v>
      </c>
      <c r="R4" s="10">
        <f>VLOOKUP(Table3[[#This Row],[Marker Name / Summenformel]],PhysChem_Table[],5,FALSE)</f>
        <v>349.8</v>
      </c>
      <c r="S4" s="10">
        <f>VLOOKUP(Table3[[#This Row],[Marker Name / Summenformel]],PhysChem_Table[],6,FALSE)</f>
        <v>97.75</v>
      </c>
      <c r="T4" s="10" t="str">
        <f>VLOOKUP(Table3[[#This Row],[Marker Name / Summenformel]],PhysChem_Table[],7,FALSE)</f>
        <v>n.r.</v>
      </c>
      <c r="U4" s="10" t="str">
        <f>VLOOKUP(Table3[[#This Row],[Marker Name / Summenformel]],PhysChem_Table[],8,FALSE)</f>
        <v>n.r.</v>
      </c>
      <c r="V4" s="10">
        <f>VLOOKUP(Table3[[#This Row],[Marker Name / Summenformel]],PhysChem_Table[],9,FALSE)</f>
        <v>1.3420000000000001</v>
      </c>
      <c r="W4" s="10">
        <f>VLOOKUP(Table3[[#This Row],[Marker Name / Summenformel]],PhysChem_Table[],10,FALSE)</f>
        <v>20</v>
      </c>
      <c r="X4" s="10" t="str">
        <f>VLOOKUP(Table3[[#This Row],[Marker Name / Summenformel]],PhysChem_Table[],11,FALSE)</f>
        <v>150-53 um</v>
      </c>
      <c r="Y4" s="10">
        <f>VLOOKUP(Table3[[#This Row],[Marker Name / Summenformel]],PhysChem_Table[],12,FALSE)</f>
        <v>1.7099999999999998E-11</v>
      </c>
      <c r="Z4" s="10" t="str">
        <f>VLOOKUP(Table3[[#This Row],[Marker Name / Summenformel]],PhysChem_Table[],13,FALSE)</f>
        <v>n.s.</v>
      </c>
      <c r="AA4" s="10">
        <f>VLOOKUP(Table3[[#This Row],[Marker Name / Summenformel]],PhysChem_Table[],14,FALSE)</f>
        <v>5.4989999999999997</v>
      </c>
      <c r="AB4" s="10" t="str">
        <f>VLOOKUP(Table3[[#This Row],[Marker Name / Summenformel]],PhysChem_Table[],15,FALSE)</f>
        <v>n.s.</v>
      </c>
      <c r="AC4" s="10">
        <f>VLOOKUP(Table3[[#This Row],[Marker Name / Summenformel]],PhysChem_Table[],16,FALSE)</f>
        <v>0.01</v>
      </c>
      <c r="AD4" s="10">
        <f>VLOOKUP(Table3[[#This Row],[Marker Name / Summenformel]],PhysChem_Table[],17,FALSE)</f>
        <v>25</v>
      </c>
      <c r="AE4" s="10" t="str">
        <f>VLOOKUP(Table3[[#This Row],[Marker Name / Summenformel]],PhysChem_Table[],18,FALSE)</f>
        <v>n.a.</v>
      </c>
      <c r="AF4" s="10" t="str">
        <f>VLOOKUP(Table3[[#This Row],[Marker Name / Summenformel]],PhysChem_Table[],19,FALSE)</f>
        <v>n.a.</v>
      </c>
      <c r="AG4" s="10" t="str">
        <f>VLOOKUP(Table3[[#This Row],[Marker Name / Summenformel]],PhysChem_Table[],20,FALSE)</f>
        <v>n.a.</v>
      </c>
      <c r="AH4" s="10" t="str">
        <f>VLOOKUP(Table3[[#This Row],[Marker Name / Summenformel]],PhysChem_Table[],21,FALSE)</f>
        <v>n.r.</v>
      </c>
      <c r="AI4" s="10">
        <f>VLOOKUP(Table3[[#This Row],[Marker Name / Summenformel]],PhysChem_Table[],22,FALSE)</f>
        <v>282.60000000000002</v>
      </c>
      <c r="AJ4" s="10">
        <f>VLOOKUP(Table3[[#This Row],[Marker Name / Summenformel]],PhysChem_Table[],23,FALSE)</f>
        <v>97.8</v>
      </c>
      <c r="AK4" s="10" t="str">
        <f>VLOOKUP(Table3[[#This Row],[Marker Name / Summenformel]],PhysChem_Table[],24,FALSE)</f>
        <v>N</v>
      </c>
      <c r="AL4" s="10" t="str">
        <f>VLOOKUP(Table3[[#This Row],[Marker Name / Summenformel]],PhysChem_Table[],25,FALSE)</f>
        <v>no flammability</v>
      </c>
      <c r="AM4" s="10" t="str">
        <f>VLOOKUP(Table3[[#This Row],[Marker Name / Summenformel]],PhysChem_Table[],26,FALSE)</f>
        <v>non explosive</v>
      </c>
      <c r="AN4" s="10" t="str">
        <f>VLOOKUP(Table3[[#This Row],[Marker Name / Summenformel]],PhysChem_Table[],27,FALSE)</f>
        <v>non oxidising</v>
      </c>
      <c r="AO4" s="10" t="str">
        <f>VLOOKUP(Table3[[#This Row],[Marker Name / Summenformel]],PhysChem_Table[],28,FALSE)</f>
        <v>n.a.</v>
      </c>
      <c r="AP4" s="10" t="str">
        <f>VLOOKUP(Table3[[#This Row],[Marker Name / Summenformel]],PhysChem_Table[],29,FALSE)</f>
        <v>n.a.</v>
      </c>
      <c r="AQ4" s="10" t="str">
        <f>VLOOKUP(Table3[[#This Row],[Marker Name / Summenformel]],PhysChem_Table[],30,FALSE)</f>
        <v>n.a.</v>
      </c>
      <c r="AR4" s="10">
        <f>VLOOKUP(Table3[[#This Row],[Marker Name / Summenformel]],PhysChem_Table[],31,FALSE)</f>
        <v>8.6300000000000008</v>
      </c>
      <c r="AS4" s="10" t="str">
        <f>VLOOKUP(Table3[[#This Row],[Marker Name / Summenformel]],PhysChem_Table[],32,FALSE)</f>
        <v>n.a.</v>
      </c>
      <c r="AT4" s="10" t="str">
        <f>VLOOKUP(Table3[[#This Row],[Marker Name / Summenformel]],PhysChem_Table[],33,FALSE)</f>
        <v>n.r.</v>
      </c>
      <c r="AU4" s="10" t="str">
        <f>VLOOKUP(Table3[[#This Row],[Marker Name / Summenformel]],PhysChem_Table[],34,FALSE)</f>
        <v>https://echa.europa.eu/de/registration-dossier/-/registered-dossier/21781</v>
      </c>
      <c r="AV4" s="10">
        <f>VLOOKUP(Table3[[#This Row],[Marker Name / Summenformel]],PhysChem_Table[],35,FALSE)</f>
        <v>0</v>
      </c>
    </row>
    <row r="5" spans="1:48" ht="14.45" customHeight="1" x14ac:dyDescent="0.3">
      <c r="A5" s="10" t="s">
        <v>1</v>
      </c>
      <c r="B5" s="38">
        <f>VLOOKUP(Table3[[#This Row],[Marker Name / Summenformel]],BaseInfos_Table[],2,FALSE)</f>
        <v>0</v>
      </c>
      <c r="C5" s="38" t="str">
        <f>VLOOKUP(Table3[[#This Row],[Marker Name / Summenformel]],BaseInfos_Table[],3,FALSE)</f>
        <v>7128-64-5</v>
      </c>
      <c r="D5" s="38" t="str">
        <f>VLOOKUP(Table3[[#This Row],[Marker Name / Summenformel]],BaseInfos_Table[],4,FALSE)</f>
        <v>230-426-4</v>
      </c>
      <c r="E5" s="38" t="str">
        <f>VLOOKUP(Table3[[#This Row],[Marker Name / Summenformel]],BaseInfos_Table[],5,FALSE)</f>
        <v>Fourati et al. 2011 / The journal of physical chemistry B</v>
      </c>
      <c r="F5" s="38" t="str">
        <f>VLOOKUP(Table3[[#This Row],[Marker Name / Summenformel]],BaseInfos_Table[],6,FALSE)</f>
        <v>UV-Vis</v>
      </c>
      <c r="G5" s="38" t="str">
        <f>VLOOKUP(Table3[[#This Row],[Marker Name / Summenformel]],BaseInfos_Table[],7,FALSE)</f>
        <v>Y</v>
      </c>
      <c r="H5" s="38">
        <f>VLOOKUP(Table3[[#This Row],[Marker Name / Summenformel]],BaseInfos_Table[],8,FALSE)</f>
        <v>100</v>
      </c>
      <c r="I5" s="38" t="str">
        <f>VLOOKUP(Table3[[#This Row],[Marker Name / Summenformel]],BaseInfos_Table[],9,FALSE)</f>
        <v>https://echa.europa.eu/de/substance-information/-/substanceinfo/100.027.661</v>
      </c>
      <c r="J5" s="38" t="str">
        <f>VLOOKUP(Table3[[#This Row],[Marker Name / Summenformel]],BaseInfos_Table[],10,FALSE)</f>
        <v>https://www.sigmaaldrich.com/AT/en/search/7128-64-5?focus=products&amp;page=1&amp;perPage=30&amp;sort=relevance&amp;term=7128-64-5&amp;type=product</v>
      </c>
      <c r="K5" s="38">
        <f>VLOOKUP(Table3[[#This Row],[Marker Name / Summenformel]],BaseInfos_Table[],11,FALSE)</f>
        <v>0</v>
      </c>
      <c r="L5" s="10" t="str">
        <f>VLOOKUP(Table3[[#This Row],[Marker Name / Summenformel]],GHS_Table[#All],3,FALSE)</f>
        <v>REACH</v>
      </c>
      <c r="M5" s="10">
        <f>VLOOKUP(Table3[[#This Row],[Marker Name / Summenformel]],GHS_Table[#All],4,FALSE)</f>
        <v>0</v>
      </c>
      <c r="N5" s="10">
        <f>VLOOKUP(Table3[[#This Row],[Marker Name / Summenformel]],GHS_Table[#All],5,FALSE)</f>
        <v>3</v>
      </c>
      <c r="O5" s="10">
        <f>VLOOKUP(Table3[[#This Row],[Marker Name / Summenformel]],GHS_Table[#All],6,FALSE)</f>
        <v>0</v>
      </c>
      <c r="P5" s="38" t="str">
        <f>VLOOKUP(Table3[[#This Row],[Marker Name / Summenformel]],PhysChem_Table[],3,FALSE)</f>
        <v>crystalline powder</v>
      </c>
      <c r="Q5" s="38" t="str">
        <f>VLOOKUP(Table3[[#This Row],[Marker Name / Summenformel]],PhysChem_Table[],4,FALSE)</f>
        <v>Yellow</v>
      </c>
      <c r="R5" s="38">
        <f>VLOOKUP(Table3[[#This Row],[Marker Name / Summenformel]],PhysChem_Table[],5,FALSE)</f>
        <v>200.6</v>
      </c>
      <c r="S5" s="38">
        <f>VLOOKUP(Table3[[#This Row],[Marker Name / Summenformel]],PhysChem_Table[],6,FALSE)</f>
        <v>101.325</v>
      </c>
      <c r="T5" s="38" t="str">
        <f>VLOOKUP(Table3[[#This Row],[Marker Name / Summenformel]],PhysChem_Table[],7,FALSE)</f>
        <v>n.r.</v>
      </c>
      <c r="U5" s="38" t="str">
        <f>VLOOKUP(Table3[[#This Row],[Marker Name / Summenformel]],PhysChem_Table[],8,FALSE)</f>
        <v>n.r.</v>
      </c>
      <c r="V5" s="38">
        <f>VLOOKUP(Table3[[#This Row],[Marker Name / Summenformel]],PhysChem_Table[],9,FALSE)</f>
        <v>1.272</v>
      </c>
      <c r="W5" s="38">
        <f>VLOOKUP(Table3[[#This Row],[Marker Name / Summenformel]],PhysChem_Table[],10,FALSE)</f>
        <v>20</v>
      </c>
      <c r="X5" s="38" t="str">
        <f>VLOOKUP(Table3[[#This Row],[Marker Name / Summenformel]],PhysChem_Table[],11,FALSE)</f>
        <v>42-4 um</v>
      </c>
      <c r="Y5" s="38">
        <f>VLOOKUP(Table3[[#This Row],[Marker Name / Summenformel]],PhysChem_Table[],12,FALSE)</f>
        <v>8.0999999999999999E-10</v>
      </c>
      <c r="Z5" s="38">
        <f>VLOOKUP(Table3[[#This Row],[Marker Name / Summenformel]],PhysChem_Table[],13,FALSE)</f>
        <v>25</v>
      </c>
      <c r="AA5" s="38">
        <f>VLOOKUP(Table3[[#This Row],[Marker Name / Summenformel]],PhysChem_Table[],14,FALSE)</f>
        <v>8.6</v>
      </c>
      <c r="AB5" s="38">
        <f>VLOOKUP(Table3[[#This Row],[Marker Name / Summenformel]],PhysChem_Table[],15,FALSE)</f>
        <v>25</v>
      </c>
      <c r="AC5" s="38">
        <f>VLOOKUP(Table3[[#This Row],[Marker Name / Summenformel]],PhysChem_Table[],16,FALSE)</f>
        <v>0.01</v>
      </c>
      <c r="AD5" s="38">
        <f>VLOOKUP(Table3[[#This Row],[Marker Name / Summenformel]],PhysChem_Table[],17,FALSE)</f>
        <v>25</v>
      </c>
      <c r="AE5" s="38" t="str">
        <f>VLOOKUP(Table3[[#This Row],[Marker Name / Summenformel]],PhysChem_Table[],18,FALSE)</f>
        <v>n.a.</v>
      </c>
      <c r="AF5" s="38" t="str">
        <f>VLOOKUP(Table3[[#This Row],[Marker Name / Summenformel]],PhysChem_Table[],19,FALSE)</f>
        <v>n.a.</v>
      </c>
      <c r="AG5" s="38" t="str">
        <f>VLOOKUP(Table3[[#This Row],[Marker Name / Summenformel]],PhysChem_Table[],20,FALSE)</f>
        <v>n.a.</v>
      </c>
      <c r="AH5" s="38" t="str">
        <f>VLOOKUP(Table3[[#This Row],[Marker Name / Summenformel]],PhysChem_Table[],21,FALSE)</f>
        <v>n.r.</v>
      </c>
      <c r="AI5" s="38" t="str">
        <f>VLOOKUP(Table3[[#This Row],[Marker Name / Summenformel]],PhysChem_Table[],22,FALSE)</f>
        <v>n.r.</v>
      </c>
      <c r="AJ5" s="38" t="str">
        <f>VLOOKUP(Table3[[#This Row],[Marker Name / Summenformel]],PhysChem_Table[],23,FALSE)</f>
        <v>n.r.</v>
      </c>
      <c r="AK5" s="38" t="str">
        <f>VLOOKUP(Table3[[#This Row],[Marker Name / Summenformel]],PhysChem_Table[],24,FALSE)</f>
        <v>N</v>
      </c>
      <c r="AL5" s="38" t="str">
        <f>VLOOKUP(Table3[[#This Row],[Marker Name / Summenformel]],PhysChem_Table[],25,FALSE)</f>
        <v>no flammability</v>
      </c>
      <c r="AM5" s="38" t="str">
        <f>VLOOKUP(Table3[[#This Row],[Marker Name / Summenformel]],PhysChem_Table[],26,FALSE)</f>
        <v>non explosive</v>
      </c>
      <c r="AN5" s="38" t="str">
        <f>VLOOKUP(Table3[[#This Row],[Marker Name / Summenformel]],PhysChem_Table[],27,FALSE)</f>
        <v>non oxidising</v>
      </c>
      <c r="AO5" s="38" t="str">
        <f>VLOOKUP(Table3[[#This Row],[Marker Name / Summenformel]],PhysChem_Table[],28,FALSE)</f>
        <v>n.r.</v>
      </c>
      <c r="AP5" s="38" t="str">
        <f>VLOOKUP(Table3[[#This Row],[Marker Name / Summenformel]],PhysChem_Table[],29,FALSE)</f>
        <v>n.a.</v>
      </c>
      <c r="AQ5" s="38" t="str">
        <f>VLOOKUP(Table3[[#This Row],[Marker Name / Summenformel]],PhysChem_Table[],30,FALSE)</f>
        <v>stable at RT</v>
      </c>
      <c r="AR5" s="38" t="str">
        <f>VLOOKUP(Table3[[#This Row],[Marker Name / Summenformel]],PhysChem_Table[],31,FALSE)</f>
        <v>n.a.</v>
      </c>
      <c r="AS5" s="38" t="str">
        <f>VLOOKUP(Table3[[#This Row],[Marker Name / Summenformel]],PhysChem_Table[],32,FALSE)</f>
        <v>n.r.</v>
      </c>
      <c r="AT5" s="38" t="str">
        <f>VLOOKUP(Table3[[#This Row],[Marker Name / Summenformel]],PhysChem_Table[],33,FALSE)</f>
        <v>n.r.</v>
      </c>
      <c r="AU5" s="38" t="str">
        <f>VLOOKUP(Table3[[#This Row],[Marker Name / Summenformel]],PhysChem_Table[],34,FALSE)</f>
        <v>https://echa.europa.eu/de/registration-dossier/-/registered-dossier/10402</v>
      </c>
      <c r="AV5" s="10">
        <f>VLOOKUP(Table3[[#This Row],[Marker Name / Summenformel]],PhysChem_Table[],35,FALSE)</f>
        <v>0</v>
      </c>
    </row>
    <row r="6" spans="1:48" x14ac:dyDescent="0.3">
      <c r="A6" s="10" t="s">
        <v>686</v>
      </c>
      <c r="B6" s="10" t="str">
        <f>VLOOKUP(Table3[[#This Row],[Marker Name / Summenformel]],BaseInfos_Table[],2,FALSE)</f>
        <v>rare earth oxide</v>
      </c>
      <c r="C6" s="10" t="str">
        <f>VLOOKUP(Table3[[#This Row],[Marker Name / Summenformel]],BaseInfos_Table[],3,FALSE)</f>
        <v>1306-38-3</v>
      </c>
      <c r="D6" s="10" t="str">
        <f>VLOOKUP(Table3[[#This Row],[Marker Name / Summenformel]],BaseInfos_Table[],4,FALSE)</f>
        <v>215-150-4</v>
      </c>
      <c r="E6" s="10" t="str">
        <f>VLOOKUP(Table3[[#This Row],[Marker Name / Summenformel]],BaseInfos_Table[],5,FALSE)</f>
        <v>Bezati et al. 2011 / Resources Conservation &amp; Recycling</v>
      </c>
      <c r="F6" s="10" t="str">
        <f>VLOOKUP(Table3[[#This Row],[Marker Name / Summenformel]],BaseInfos_Table[],6,FALSE)</f>
        <v>UV-Vis, XRF, IR</v>
      </c>
      <c r="G6" s="10" t="str">
        <f>VLOOKUP(Table3[[#This Row],[Marker Name / Summenformel]],BaseInfos_Table[],7,FALSE)</f>
        <v>Y</v>
      </c>
      <c r="H6" s="10">
        <f>VLOOKUP(Table3[[#This Row],[Marker Name / Summenformel]],BaseInfos_Table[],8,FALSE)</f>
        <v>1000</v>
      </c>
      <c r="I6" s="10" t="str">
        <f>VLOOKUP(Table3[[#This Row],[Marker Name / Summenformel]],BaseInfos_Table[],9,FALSE)</f>
        <v>https://echa.europa.eu/de/substance-information/-/substanceinfo/100.013.774</v>
      </c>
      <c r="J6" s="10" t="str">
        <f>VLOOKUP(Table3[[#This Row],[Marker Name / Summenformel]],BaseInfos_Table[],10,FALSE)</f>
        <v>https://www.sigmaaldrich.com/AT/en/search/1306-38-3?focus=products&amp;page=1&amp;perPage=30&amp;sort=relevance&amp;term=1306-38-3&amp;type=product</v>
      </c>
      <c r="K6" s="10">
        <f>VLOOKUP(Table3[[#This Row],[Marker Name / Summenformel]],BaseInfos_Table[],11,FALSE)</f>
        <v>0</v>
      </c>
      <c r="L6" s="10" t="str">
        <f>VLOOKUP(Table3[[#This Row],[Marker Name / Summenformel]],GHS_Table[#All],3,FALSE)</f>
        <v>REACH</v>
      </c>
      <c r="M6" s="10">
        <f>VLOOKUP(Table3[[#This Row],[Marker Name / Summenformel]],GHS_Table[#All],4,FALSE)</f>
        <v>0</v>
      </c>
      <c r="N6" s="10">
        <f>VLOOKUP(Table3[[#This Row],[Marker Name / Summenformel]],GHS_Table[#All],5,FALSE)</f>
        <v>9</v>
      </c>
      <c r="O6" s="10">
        <f>VLOOKUP(Table3[[#This Row],[Marker Name / Summenformel]],GHS_Table[#All],6,FALSE)</f>
        <v>0</v>
      </c>
      <c r="P6" s="10" t="str">
        <f>VLOOKUP(Table3[[#This Row],[Marker Name / Summenformel]],PhysChem_Table[],3,FALSE)</f>
        <v>solid: powder</v>
      </c>
      <c r="Q6" s="10" t="str">
        <f>VLOOKUP(Table3[[#This Row],[Marker Name / Summenformel]],PhysChem_Table[],4,FALSE)</f>
        <v>white</v>
      </c>
      <c r="R6" s="10">
        <f>VLOOKUP(Table3[[#This Row],[Marker Name / Summenformel]],PhysChem_Table[],5,FALSE)</f>
        <v>400</v>
      </c>
      <c r="S6" s="10" t="str">
        <f>VLOOKUP(Table3[[#This Row],[Marker Name / Summenformel]],PhysChem_Table[],6,FALSE)</f>
        <v>n.s.</v>
      </c>
      <c r="T6" s="10">
        <f>VLOOKUP(Table3[[#This Row],[Marker Name / Summenformel]],PhysChem_Table[],7,FALSE)</f>
        <v>400</v>
      </c>
      <c r="U6" s="10">
        <f>VLOOKUP(Table3[[#This Row],[Marker Name / Summenformel]],PhysChem_Table[],8,FALSE)</f>
        <v>101.3</v>
      </c>
      <c r="V6" s="10">
        <f>VLOOKUP(Table3[[#This Row],[Marker Name / Summenformel]],PhysChem_Table[],9,FALSE)</f>
        <v>7.2</v>
      </c>
      <c r="W6" s="10">
        <f>VLOOKUP(Table3[[#This Row],[Marker Name / Summenformel]],PhysChem_Table[],10,FALSE)</f>
        <v>20.3</v>
      </c>
      <c r="X6" s="10" t="str">
        <f>VLOOKUP(Table3[[#This Row],[Marker Name / Summenformel]],PhysChem_Table[],11,FALSE)</f>
        <v>9-0.3 um</v>
      </c>
      <c r="Y6" s="10" t="str">
        <f>VLOOKUP(Table3[[#This Row],[Marker Name / Summenformel]],PhysChem_Table[],12,FALSE)</f>
        <v>n.r.</v>
      </c>
      <c r="Z6" s="10" t="str">
        <f>VLOOKUP(Table3[[#This Row],[Marker Name / Summenformel]],PhysChem_Table[],13,FALSE)</f>
        <v>n.r.</v>
      </c>
      <c r="AA6" s="10" t="str">
        <f>VLOOKUP(Table3[[#This Row],[Marker Name / Summenformel]],PhysChem_Table[],14,FALSE)</f>
        <v>n.r.</v>
      </c>
      <c r="AB6" s="10" t="str">
        <f>VLOOKUP(Table3[[#This Row],[Marker Name / Summenformel]],PhysChem_Table[],15,FALSE)</f>
        <v>n.r.</v>
      </c>
      <c r="AC6" s="10">
        <f>VLOOKUP(Table3[[#This Row],[Marker Name / Summenformel]],PhysChem_Table[],16,FALSE)</f>
        <v>0.01</v>
      </c>
      <c r="AD6" s="10">
        <f>VLOOKUP(Table3[[#This Row],[Marker Name / Summenformel]],PhysChem_Table[],17,FALSE)</f>
        <v>20</v>
      </c>
      <c r="AE6" s="10" t="str">
        <f>VLOOKUP(Table3[[#This Row],[Marker Name / Summenformel]],PhysChem_Table[],18,FALSE)</f>
        <v>n.a.</v>
      </c>
      <c r="AF6" s="10" t="str">
        <f>VLOOKUP(Table3[[#This Row],[Marker Name / Summenformel]],PhysChem_Table[],19,FALSE)</f>
        <v>n.a.</v>
      </c>
      <c r="AG6" s="10" t="str">
        <f>VLOOKUP(Table3[[#This Row],[Marker Name / Summenformel]],PhysChem_Table[],20,FALSE)</f>
        <v>n.a.</v>
      </c>
      <c r="AH6" s="10" t="str">
        <f>VLOOKUP(Table3[[#This Row],[Marker Name / Summenformel]],PhysChem_Table[],21,FALSE)</f>
        <v>n.r.</v>
      </c>
      <c r="AI6" s="10" t="str">
        <f>VLOOKUP(Table3[[#This Row],[Marker Name / Summenformel]],PhysChem_Table[],22,FALSE)</f>
        <v>n.r.</v>
      </c>
      <c r="AJ6" s="10" t="str">
        <f>VLOOKUP(Table3[[#This Row],[Marker Name / Summenformel]],PhysChem_Table[],23,FALSE)</f>
        <v>n.r.</v>
      </c>
      <c r="AK6" s="10" t="str">
        <f>VLOOKUP(Table3[[#This Row],[Marker Name / Summenformel]],PhysChem_Table[],24,FALSE)</f>
        <v>N</v>
      </c>
      <c r="AL6" s="10" t="str">
        <f>VLOOKUP(Table3[[#This Row],[Marker Name / Summenformel]],PhysChem_Table[],25,FALSE)</f>
        <v>no flammability</v>
      </c>
      <c r="AM6" s="10" t="str">
        <f>VLOOKUP(Table3[[#This Row],[Marker Name / Summenformel]],PhysChem_Table[],26,FALSE)</f>
        <v>non explosive</v>
      </c>
      <c r="AN6" s="10" t="str">
        <f>VLOOKUP(Table3[[#This Row],[Marker Name / Summenformel]],PhysChem_Table[],27,FALSE)</f>
        <v>non oxidising</v>
      </c>
      <c r="AO6" s="10" t="str">
        <f>VLOOKUP(Table3[[#This Row],[Marker Name / Summenformel]],PhysChem_Table[],28,FALSE)</f>
        <v>n.r.</v>
      </c>
      <c r="AP6" s="10" t="str">
        <f>VLOOKUP(Table3[[#This Row],[Marker Name / Summenformel]],PhysChem_Table[],29,FALSE)</f>
        <v>n.a.</v>
      </c>
      <c r="AQ6" s="10" t="str">
        <f>VLOOKUP(Table3[[#This Row],[Marker Name / Summenformel]],PhysChem_Table[],30,FALSE)</f>
        <v>n.a.</v>
      </c>
      <c r="AR6" s="10" t="str">
        <f>VLOOKUP(Table3[[#This Row],[Marker Name / Summenformel]],PhysChem_Table[],31,FALSE)</f>
        <v>n.a.</v>
      </c>
      <c r="AS6" s="10" t="str">
        <f>VLOOKUP(Table3[[#This Row],[Marker Name / Summenformel]],PhysChem_Table[],32,FALSE)</f>
        <v>n.r.</v>
      </c>
      <c r="AT6" s="10" t="str">
        <f>VLOOKUP(Table3[[#This Row],[Marker Name / Summenformel]],PhysChem_Table[],33,FALSE)</f>
        <v>n.r.</v>
      </c>
      <c r="AU6" s="10" t="str">
        <f>VLOOKUP(Table3[[#This Row],[Marker Name / Summenformel]],PhysChem_Table[],34,FALSE)</f>
        <v>https://echa.europa.eu/de/registration-dossier/-/registered-dossier/15783</v>
      </c>
      <c r="AV6" s="10">
        <f>VLOOKUP(Table3[[#This Row],[Marker Name / Summenformel]],PhysChem_Table[],35,FALSE)</f>
        <v>0</v>
      </c>
    </row>
    <row r="7" spans="1:48" ht="15.6" customHeight="1" x14ac:dyDescent="0.3">
      <c r="A7" s="10" t="s">
        <v>687</v>
      </c>
      <c r="B7" s="10" t="str">
        <f>VLOOKUP(Table3[[#This Row],[Marker Name / Summenformel]],BaseInfos_Table[],2,FALSE)</f>
        <v>rare earth oxide</v>
      </c>
      <c r="C7" s="10" t="str">
        <f>VLOOKUP(Table3[[#This Row],[Marker Name / Summenformel]],BaseInfos_Table[],3,FALSE)</f>
        <v>1314-36-9</v>
      </c>
      <c r="D7" s="10" t="str">
        <f>VLOOKUP(Table3[[#This Row],[Marker Name / Summenformel]],BaseInfos_Table[],4,FALSE)</f>
        <v>215-233-5</v>
      </c>
      <c r="E7" s="10" t="str">
        <f>VLOOKUP(Table3[[#This Row],[Marker Name / Summenformel]],BaseInfos_Table[],5,FALSE)</f>
        <v>Bezati et al. 2011 / Resources Conservation &amp; Recycling</v>
      </c>
      <c r="F7" s="10" t="str">
        <f>VLOOKUP(Table3[[#This Row],[Marker Name / Summenformel]],BaseInfos_Table[],6,FALSE)</f>
        <v>UV-Vis, XRF, IR</v>
      </c>
      <c r="G7" s="10" t="str">
        <f>VLOOKUP(Table3[[#This Row],[Marker Name / Summenformel]],BaseInfos_Table[],7,FALSE)</f>
        <v>Y</v>
      </c>
      <c r="H7" s="10">
        <f>VLOOKUP(Table3[[#This Row],[Marker Name / Summenformel]],BaseInfos_Table[],8,FALSE)</f>
        <v>100</v>
      </c>
      <c r="I7" s="10" t="str">
        <f>VLOOKUP(Table3[[#This Row],[Marker Name / Summenformel]],BaseInfos_Table[],9,FALSE)</f>
        <v>https://echa.europa.eu/de/substance-information/-/substanceinfo/100.013.849</v>
      </c>
      <c r="J7" s="10" t="str">
        <f>VLOOKUP(Table3[[#This Row],[Marker Name / Summenformel]],BaseInfos_Table[],10,FALSE)</f>
        <v>https://www.sigmaaldrich.com/AT/en/search/1314-36-9?focus=products&amp;page=1&amp;perPage=30&amp;sort=relevance&amp;term=1314-36-9&amp;type=product</v>
      </c>
      <c r="K7" s="10">
        <f>VLOOKUP(Table3[[#This Row],[Marker Name / Summenformel]],BaseInfos_Table[],11,FALSE)</f>
        <v>0</v>
      </c>
      <c r="L7" s="10" t="str">
        <f>VLOOKUP(Table3[[#This Row],[Marker Name / Summenformel]],GHS_Table[#All],3,FALSE)</f>
        <v>REACH</v>
      </c>
      <c r="M7" s="10">
        <f>VLOOKUP(Table3[[#This Row],[Marker Name / Summenformel]],GHS_Table[#All],4,FALSE)</f>
        <v>0</v>
      </c>
      <c r="N7" s="10">
        <f>VLOOKUP(Table3[[#This Row],[Marker Name / Summenformel]],GHS_Table[#All],5,FALSE)</f>
        <v>4</v>
      </c>
      <c r="O7" s="10">
        <f>VLOOKUP(Table3[[#This Row],[Marker Name / Summenformel]],GHS_Table[#All],6,FALSE)</f>
        <v>0</v>
      </c>
      <c r="P7" s="10" t="str">
        <f>VLOOKUP(Table3[[#This Row],[Marker Name / Summenformel]],PhysChem_Table[],3,FALSE)</f>
        <v>solid: powder</v>
      </c>
      <c r="Q7" s="10" t="str">
        <f>VLOOKUP(Table3[[#This Row],[Marker Name / Summenformel]],PhysChem_Table[],4,FALSE)</f>
        <v>white</v>
      </c>
      <c r="R7" s="10">
        <f>VLOOKUP(Table3[[#This Row],[Marker Name / Summenformel]],PhysChem_Table[],5,FALSE)</f>
        <v>400</v>
      </c>
      <c r="S7" s="10" t="str">
        <f>VLOOKUP(Table3[[#This Row],[Marker Name / Summenformel]],PhysChem_Table[],6,FALSE)</f>
        <v>n.s.</v>
      </c>
      <c r="T7" s="10">
        <f>VLOOKUP(Table3[[#This Row],[Marker Name / Summenformel]],PhysChem_Table[],7,FALSE)</f>
        <v>400</v>
      </c>
      <c r="U7" s="10" t="str">
        <f>VLOOKUP(Table3[[#This Row],[Marker Name / Summenformel]],PhysChem_Table[],8,FALSE)</f>
        <v>n.s.</v>
      </c>
      <c r="V7" s="10">
        <f>VLOOKUP(Table3[[#This Row],[Marker Name / Summenformel]],PhysChem_Table[],9,FALSE)</f>
        <v>4.8499999999999996</v>
      </c>
      <c r="W7" s="10">
        <f>VLOOKUP(Table3[[#This Row],[Marker Name / Summenformel]],PhysChem_Table[],10,FALSE)</f>
        <v>20.3</v>
      </c>
      <c r="X7" s="10" t="str">
        <f>VLOOKUP(Table3[[#This Row],[Marker Name / Summenformel]],PhysChem_Table[],11,FALSE)</f>
        <v>50-0.3 um</v>
      </c>
      <c r="Y7" s="10" t="str">
        <f>VLOOKUP(Table3[[#This Row],[Marker Name / Summenformel]],PhysChem_Table[],12,FALSE)</f>
        <v>n.r.</v>
      </c>
      <c r="Z7" s="10" t="str">
        <f>VLOOKUP(Table3[[#This Row],[Marker Name / Summenformel]],PhysChem_Table[],13,FALSE)</f>
        <v>n.r.</v>
      </c>
      <c r="AA7" s="10" t="str">
        <f>VLOOKUP(Table3[[#This Row],[Marker Name / Summenformel]],PhysChem_Table[],14,FALSE)</f>
        <v>n.r.</v>
      </c>
      <c r="AB7" s="10" t="str">
        <f>VLOOKUP(Table3[[#This Row],[Marker Name / Summenformel]],PhysChem_Table[],15,FALSE)</f>
        <v>n.r.</v>
      </c>
      <c r="AC7" s="10">
        <f>VLOOKUP(Table3[[#This Row],[Marker Name / Summenformel]],PhysChem_Table[],16,FALSE)</f>
        <v>6.9999999999999999E-4</v>
      </c>
      <c r="AD7" s="10">
        <f>VLOOKUP(Table3[[#This Row],[Marker Name / Summenformel]],PhysChem_Table[],17,FALSE)</f>
        <v>20</v>
      </c>
      <c r="AE7" s="10" t="str">
        <f>VLOOKUP(Table3[[#This Row],[Marker Name / Summenformel]],PhysChem_Table[],18,FALSE)</f>
        <v>n.a.</v>
      </c>
      <c r="AF7" s="10" t="str">
        <f>VLOOKUP(Table3[[#This Row],[Marker Name / Summenformel]],PhysChem_Table[],19,FALSE)</f>
        <v>n.a.</v>
      </c>
      <c r="AG7" s="10" t="str">
        <f>VLOOKUP(Table3[[#This Row],[Marker Name / Summenformel]],PhysChem_Table[],20,FALSE)</f>
        <v>n.a.</v>
      </c>
      <c r="AH7" s="10" t="str">
        <f>VLOOKUP(Table3[[#This Row],[Marker Name / Summenformel]],PhysChem_Table[],21,FALSE)</f>
        <v>n.r.</v>
      </c>
      <c r="AI7" s="10" t="str">
        <f>VLOOKUP(Table3[[#This Row],[Marker Name / Summenformel]],PhysChem_Table[],22,FALSE)</f>
        <v>n.r.</v>
      </c>
      <c r="AJ7" s="10" t="str">
        <f>VLOOKUP(Table3[[#This Row],[Marker Name / Summenformel]],PhysChem_Table[],23,FALSE)</f>
        <v>n.r.</v>
      </c>
      <c r="AK7" s="10" t="str">
        <f>VLOOKUP(Table3[[#This Row],[Marker Name / Summenformel]],PhysChem_Table[],24,FALSE)</f>
        <v>N</v>
      </c>
      <c r="AL7" s="10" t="str">
        <f>VLOOKUP(Table3[[#This Row],[Marker Name / Summenformel]],PhysChem_Table[],25,FALSE)</f>
        <v>no flammability</v>
      </c>
      <c r="AM7" s="10" t="str">
        <f>VLOOKUP(Table3[[#This Row],[Marker Name / Summenformel]],PhysChem_Table[],26,FALSE)</f>
        <v>non explosive</v>
      </c>
      <c r="AN7" s="10" t="str">
        <f>VLOOKUP(Table3[[#This Row],[Marker Name / Summenformel]],PhysChem_Table[],27,FALSE)</f>
        <v>non oxidising</v>
      </c>
      <c r="AO7" s="10" t="str">
        <f>VLOOKUP(Table3[[#This Row],[Marker Name / Summenformel]],PhysChem_Table[],28,FALSE)</f>
        <v>n.r.</v>
      </c>
      <c r="AP7" s="10" t="str">
        <f>VLOOKUP(Table3[[#This Row],[Marker Name / Summenformel]],PhysChem_Table[],29,FALSE)</f>
        <v>n.a.</v>
      </c>
      <c r="AQ7" s="10" t="str">
        <f>VLOOKUP(Table3[[#This Row],[Marker Name / Summenformel]],PhysChem_Table[],30,FALSE)</f>
        <v>n.a.</v>
      </c>
      <c r="AR7" s="10" t="str">
        <f>VLOOKUP(Table3[[#This Row],[Marker Name / Summenformel]],PhysChem_Table[],31,FALSE)</f>
        <v>n.a.</v>
      </c>
      <c r="AS7" s="10" t="str">
        <f>VLOOKUP(Table3[[#This Row],[Marker Name / Summenformel]],PhysChem_Table[],32,FALSE)</f>
        <v>n.r.</v>
      </c>
      <c r="AT7" s="10" t="str">
        <f>VLOOKUP(Table3[[#This Row],[Marker Name / Summenformel]],PhysChem_Table[],33,FALSE)</f>
        <v>n.r.</v>
      </c>
      <c r="AU7" s="10" t="str">
        <f>VLOOKUP(Table3[[#This Row],[Marker Name / Summenformel]],PhysChem_Table[],34,FALSE)</f>
        <v>https://echa.europa.eu/de/registration-dossier/-/registered-dossier/14370</v>
      </c>
      <c r="AV7" s="10">
        <f>VLOOKUP(Table3[[#This Row],[Marker Name / Summenformel]],PhysChem_Table[],35,FALSE)</f>
        <v>0</v>
      </c>
    </row>
    <row r="8" spans="1:48" ht="15.6" customHeight="1" x14ac:dyDescent="0.3">
      <c r="A8" s="10" t="s">
        <v>688</v>
      </c>
      <c r="B8" s="10" t="str">
        <f>VLOOKUP(Table3[[#This Row],[Marker Name / Summenformel]],BaseInfos_Table[],2,FALSE)</f>
        <v>rare earth oxide</v>
      </c>
      <c r="C8" s="10" t="str">
        <f>VLOOKUP(Table3[[#This Row],[Marker Name / Summenformel]],BaseInfos_Table[],3,FALSE)</f>
        <v>1313-97-9</v>
      </c>
      <c r="D8" s="10" t="str">
        <f>VLOOKUP(Table3[[#This Row],[Marker Name / Summenformel]],BaseInfos_Table[],4,FALSE)</f>
        <v>215-214-1</v>
      </c>
      <c r="E8" s="10" t="str">
        <f>VLOOKUP(Table3[[#This Row],[Marker Name / Summenformel]],BaseInfos_Table[],5,FALSE)</f>
        <v>Bezati et al. 2011 / Resources Conservation &amp; Recycling</v>
      </c>
      <c r="F8" s="10" t="str">
        <f>VLOOKUP(Table3[[#This Row],[Marker Name / Summenformel]],BaseInfos_Table[],6,FALSE)</f>
        <v>XRF</v>
      </c>
      <c r="G8" s="10" t="str">
        <f>VLOOKUP(Table3[[#This Row],[Marker Name / Summenformel]],BaseInfos_Table[],7,FALSE)</f>
        <v>Y</v>
      </c>
      <c r="H8" s="10">
        <f>VLOOKUP(Table3[[#This Row],[Marker Name / Summenformel]],BaseInfos_Table[],8,FALSE)</f>
        <v>100</v>
      </c>
      <c r="I8" s="10" t="str">
        <f>VLOOKUP(Table3[[#This Row],[Marker Name / Summenformel]],BaseInfos_Table[],9,FALSE)</f>
        <v>https://echa.europa.eu/de/substance-information/-/substanceinfo/100.013.832</v>
      </c>
      <c r="J8" s="10" t="str">
        <f>VLOOKUP(Table3[[#This Row],[Marker Name / Summenformel]],BaseInfos_Table[],10,FALSE)</f>
        <v>https://www.sigmaaldrich.com/AT/en/search/1313-97-9?focus=products&amp;page=1&amp;perPage=30&amp;sort=relevance&amp;term=1313-97-9&amp;type=product</v>
      </c>
      <c r="K8" s="10">
        <f>VLOOKUP(Table3[[#This Row],[Marker Name / Summenformel]],BaseInfos_Table[],11,FALSE)</f>
        <v>0</v>
      </c>
      <c r="L8" s="10" t="str">
        <f>VLOOKUP(Table3[[#This Row],[Marker Name / Summenformel]],GHS_Table[#All],3,FALSE)</f>
        <v>REACH</v>
      </c>
      <c r="M8" s="10">
        <f>VLOOKUP(Table3[[#This Row],[Marker Name / Summenformel]],GHS_Table[#All],4,FALSE)</f>
        <v>0</v>
      </c>
      <c r="N8" s="10">
        <f>VLOOKUP(Table3[[#This Row],[Marker Name / Summenformel]],GHS_Table[#All],5,FALSE)</f>
        <v>5</v>
      </c>
      <c r="O8" s="10">
        <f>VLOOKUP(Table3[[#This Row],[Marker Name / Summenformel]],GHS_Table[#All],6,FALSE)</f>
        <v>0</v>
      </c>
      <c r="P8" s="10" t="str">
        <f>VLOOKUP(Table3[[#This Row],[Marker Name / Summenformel]],PhysChem_Table[],3,FALSE)</f>
        <v>solid: powder</v>
      </c>
      <c r="Q8" s="10" t="str">
        <f>VLOOKUP(Table3[[#This Row],[Marker Name / Summenformel]],PhysChem_Table[],4,FALSE)</f>
        <v>blue</v>
      </c>
      <c r="R8" s="10">
        <f>VLOOKUP(Table3[[#This Row],[Marker Name / Summenformel]],PhysChem_Table[],5,FALSE)</f>
        <v>2233</v>
      </c>
      <c r="S8" s="10" t="str">
        <f>VLOOKUP(Table3[[#This Row],[Marker Name / Summenformel]],PhysChem_Table[],6,FALSE)</f>
        <v>n.s.</v>
      </c>
      <c r="T8" s="10">
        <f>VLOOKUP(Table3[[#This Row],[Marker Name / Summenformel]],PhysChem_Table[],7,FALSE)</f>
        <v>3760</v>
      </c>
      <c r="U8" s="10" t="str">
        <f>VLOOKUP(Table3[[#This Row],[Marker Name / Summenformel]],PhysChem_Table[],8,FALSE)</f>
        <v>n.s.</v>
      </c>
      <c r="V8" s="10">
        <f>VLOOKUP(Table3[[#This Row],[Marker Name / Summenformel]],PhysChem_Table[],9,FALSE)</f>
        <v>7.24</v>
      </c>
      <c r="W8" s="10" t="str">
        <f>VLOOKUP(Table3[[#This Row],[Marker Name / Summenformel]],PhysChem_Table[],10,FALSE)</f>
        <v>n.s.</v>
      </c>
      <c r="X8" s="10" t="str">
        <f>VLOOKUP(Table3[[#This Row],[Marker Name / Summenformel]],PhysChem_Table[],11,FALSE)</f>
        <v>2-8 um</v>
      </c>
      <c r="Y8" s="10" t="str">
        <f>VLOOKUP(Table3[[#This Row],[Marker Name / Summenformel]],PhysChem_Table[],12,FALSE)</f>
        <v>n.r.</v>
      </c>
      <c r="Z8" s="10" t="str">
        <f>VLOOKUP(Table3[[#This Row],[Marker Name / Summenformel]],PhysChem_Table[],13,FALSE)</f>
        <v>n.r.</v>
      </c>
      <c r="AA8" s="10" t="str">
        <f>VLOOKUP(Table3[[#This Row],[Marker Name / Summenformel]],PhysChem_Table[],14,FALSE)</f>
        <v>n.r.</v>
      </c>
      <c r="AB8" s="10" t="str">
        <f>VLOOKUP(Table3[[#This Row],[Marker Name / Summenformel]],PhysChem_Table[],15,FALSE)</f>
        <v>n.r.</v>
      </c>
      <c r="AC8" s="10">
        <f>VLOOKUP(Table3[[#This Row],[Marker Name / Summenformel]],PhysChem_Table[],16,FALSE)</f>
        <v>7.3999999999999999E-4</v>
      </c>
      <c r="AD8" s="10">
        <f>VLOOKUP(Table3[[#This Row],[Marker Name / Summenformel]],PhysChem_Table[],17,FALSE)</f>
        <v>20</v>
      </c>
      <c r="AE8" s="10" t="str">
        <f>VLOOKUP(Table3[[#This Row],[Marker Name / Summenformel]],PhysChem_Table[],18,FALSE)</f>
        <v>n.a.</v>
      </c>
      <c r="AF8" s="10" t="str">
        <f>VLOOKUP(Table3[[#This Row],[Marker Name / Summenformel]],PhysChem_Table[],19,FALSE)</f>
        <v>n.a.</v>
      </c>
      <c r="AG8" s="10" t="str">
        <f>VLOOKUP(Table3[[#This Row],[Marker Name / Summenformel]],PhysChem_Table[],20,FALSE)</f>
        <v>n.a.</v>
      </c>
      <c r="AH8" s="10" t="str">
        <f>VLOOKUP(Table3[[#This Row],[Marker Name / Summenformel]],PhysChem_Table[],21,FALSE)</f>
        <v>n.r.</v>
      </c>
      <c r="AI8" s="10" t="str">
        <f>VLOOKUP(Table3[[#This Row],[Marker Name / Summenformel]],PhysChem_Table[],22,FALSE)</f>
        <v>n.r.</v>
      </c>
      <c r="AJ8" s="10" t="str">
        <f>VLOOKUP(Table3[[#This Row],[Marker Name / Summenformel]],PhysChem_Table[],23,FALSE)</f>
        <v>n.r.</v>
      </c>
      <c r="AK8" s="10" t="str">
        <f>VLOOKUP(Table3[[#This Row],[Marker Name / Summenformel]],PhysChem_Table[],24,FALSE)</f>
        <v>N</v>
      </c>
      <c r="AL8" s="10" t="str">
        <f>VLOOKUP(Table3[[#This Row],[Marker Name / Summenformel]],PhysChem_Table[],25,FALSE)</f>
        <v>no flammability</v>
      </c>
      <c r="AM8" s="10" t="str">
        <f>VLOOKUP(Table3[[#This Row],[Marker Name / Summenformel]],PhysChem_Table[],26,FALSE)</f>
        <v>non explosive</v>
      </c>
      <c r="AN8" s="10" t="str">
        <f>VLOOKUP(Table3[[#This Row],[Marker Name / Summenformel]],PhysChem_Table[],27,FALSE)</f>
        <v>non oxidising</v>
      </c>
      <c r="AO8" s="10" t="str">
        <f>VLOOKUP(Table3[[#This Row],[Marker Name / Summenformel]],PhysChem_Table[],28,FALSE)</f>
        <v>n.r.</v>
      </c>
      <c r="AP8" s="10" t="str">
        <f>VLOOKUP(Table3[[#This Row],[Marker Name / Summenformel]],PhysChem_Table[],29,FALSE)</f>
        <v>n.a.</v>
      </c>
      <c r="AQ8" s="10" t="str">
        <f>VLOOKUP(Table3[[#This Row],[Marker Name / Summenformel]],PhysChem_Table[],30,FALSE)</f>
        <v>n.a.</v>
      </c>
      <c r="AR8" s="10" t="str">
        <f>VLOOKUP(Table3[[#This Row],[Marker Name / Summenformel]],PhysChem_Table[],31,FALSE)</f>
        <v>n.a.</v>
      </c>
      <c r="AS8" s="10" t="str">
        <f>VLOOKUP(Table3[[#This Row],[Marker Name / Summenformel]],PhysChem_Table[],32,FALSE)</f>
        <v>n.r.</v>
      </c>
      <c r="AT8" s="10" t="str">
        <f>VLOOKUP(Table3[[#This Row],[Marker Name / Summenformel]],PhysChem_Table[],33,FALSE)</f>
        <v>n.r.</v>
      </c>
      <c r="AU8" s="10" t="str">
        <f>VLOOKUP(Table3[[#This Row],[Marker Name / Summenformel]],PhysChem_Table[],34,FALSE)</f>
        <v>https://echa.europa.eu/de/registration-dossier/-/registered-dossier/14946</v>
      </c>
      <c r="AV8" s="10">
        <f>VLOOKUP(Table3[[#This Row],[Marker Name / Summenformel]],PhysChem_Table[],35,FALSE)</f>
        <v>0</v>
      </c>
    </row>
    <row r="9" spans="1:48" ht="15.6" customHeight="1" x14ac:dyDescent="0.3">
      <c r="A9" s="10" t="s">
        <v>689</v>
      </c>
      <c r="B9" s="10" t="str">
        <f>VLOOKUP(Table3[[#This Row],[Marker Name / Summenformel]],BaseInfos_Table[],2,FALSE)</f>
        <v>rare earth oxide</v>
      </c>
      <c r="C9" s="10" t="str">
        <f>VLOOKUP(Table3[[#This Row],[Marker Name / Summenformel]],BaseInfos_Table[],3,FALSE)</f>
        <v>12064-62-9</v>
      </c>
      <c r="D9" s="10" t="str">
        <f>VLOOKUP(Table3[[#This Row],[Marker Name / Summenformel]],BaseInfos_Table[],4,FALSE)</f>
        <v>235-060-9</v>
      </c>
      <c r="E9" s="10" t="str">
        <f>VLOOKUP(Table3[[#This Row],[Marker Name / Summenformel]],BaseInfos_Table[],5,FALSE)</f>
        <v>Bezati et al. 2011 / Resources Conservation &amp; Recycling</v>
      </c>
      <c r="F9" s="10" t="str">
        <f>VLOOKUP(Table3[[#This Row],[Marker Name / Summenformel]],BaseInfos_Table[],6,FALSE)</f>
        <v>XRF</v>
      </c>
      <c r="G9" s="10" t="str">
        <f>VLOOKUP(Table3[[#This Row],[Marker Name / Summenformel]],BaseInfos_Table[],7,FALSE)</f>
        <v>Y</v>
      </c>
      <c r="H9" s="10">
        <f>VLOOKUP(Table3[[#This Row],[Marker Name / Summenformel]],BaseInfos_Table[],8,FALSE)</f>
        <v>10</v>
      </c>
      <c r="I9" s="10" t="str">
        <f>VLOOKUP(Table3[[#This Row],[Marker Name / Summenformel]],BaseInfos_Table[],9,FALSE)</f>
        <v>https://echa.europa.eu/de/substance-information/-/substanceinfo/100.031.861</v>
      </c>
      <c r="J9" s="10" t="str">
        <f>VLOOKUP(Table3[[#This Row],[Marker Name / Summenformel]],BaseInfos_Table[],10,FALSE)</f>
        <v>https://www.sigmaaldrich.com/AT/en/search/12064-62-9?focus=products&amp;page=1&amp;perPage=30&amp;sort=relevance&amp;term=12064-62-9&amp;type=product</v>
      </c>
      <c r="K9" s="10">
        <f>VLOOKUP(Table3[[#This Row],[Marker Name / Summenformel]],BaseInfos_Table[],11,FALSE)</f>
        <v>0</v>
      </c>
      <c r="L9" s="10" t="str">
        <f>VLOOKUP(Table3[[#This Row],[Marker Name / Summenformel]],GHS_Table[#All],3,FALSE)</f>
        <v>REACH</v>
      </c>
      <c r="M9" s="10">
        <f>VLOOKUP(Table3[[#This Row],[Marker Name / Summenformel]],GHS_Table[#All],4,FALSE)</f>
        <v>0</v>
      </c>
      <c r="N9" s="10">
        <f>VLOOKUP(Table3[[#This Row],[Marker Name / Summenformel]],GHS_Table[#All],5,FALSE)</f>
        <v>5</v>
      </c>
      <c r="O9" s="10">
        <f>VLOOKUP(Table3[[#This Row],[Marker Name / Summenformel]],GHS_Table[#All],6,FALSE)</f>
        <v>0</v>
      </c>
      <c r="P9" s="10" t="str">
        <f>VLOOKUP(Table3[[#This Row],[Marker Name / Summenformel]],PhysChem_Table[],3,FALSE)</f>
        <v>solid: powder</v>
      </c>
      <c r="Q9" s="10" t="str">
        <f>VLOOKUP(Table3[[#This Row],[Marker Name / Summenformel]],PhysChem_Table[],4,FALSE)</f>
        <v>white</v>
      </c>
      <c r="R9" s="10">
        <f>VLOOKUP(Table3[[#This Row],[Marker Name / Summenformel]],PhysChem_Table[],5,FALSE)</f>
        <v>600</v>
      </c>
      <c r="S9" s="10">
        <f>VLOOKUP(Table3[[#This Row],[Marker Name / Summenformel]],PhysChem_Table[],6,FALSE)</f>
        <v>101.325</v>
      </c>
      <c r="T9" s="10">
        <f>VLOOKUP(Table3[[#This Row],[Marker Name / Summenformel]],PhysChem_Table[],7,FALSE)</f>
        <v>3900</v>
      </c>
      <c r="U9" s="10" t="str">
        <f>VLOOKUP(Table3[[#This Row],[Marker Name / Summenformel]],PhysChem_Table[],8,FALSE)</f>
        <v>n.s.</v>
      </c>
      <c r="V9" s="10">
        <f>VLOOKUP(Table3[[#This Row],[Marker Name / Summenformel]],PhysChem_Table[],9,FALSE)</f>
        <v>7.93</v>
      </c>
      <c r="W9" s="10">
        <f>VLOOKUP(Table3[[#This Row],[Marker Name / Summenformel]],PhysChem_Table[],10,FALSE)</f>
        <v>19.899999999999999</v>
      </c>
      <c r="X9" s="10" t="str">
        <f>VLOOKUP(Table3[[#This Row],[Marker Name / Summenformel]],PhysChem_Table[],11,FALSE)</f>
        <v>0.5-8.76 um</v>
      </c>
      <c r="Y9" s="10" t="str">
        <f>VLOOKUP(Table3[[#This Row],[Marker Name / Summenformel]],PhysChem_Table[],12,FALSE)</f>
        <v>n.r.</v>
      </c>
      <c r="Z9" s="10" t="str">
        <f>VLOOKUP(Table3[[#This Row],[Marker Name / Summenformel]],PhysChem_Table[],13,FALSE)</f>
        <v>n.r.</v>
      </c>
      <c r="AA9" s="10" t="str">
        <f>VLOOKUP(Table3[[#This Row],[Marker Name / Summenformel]],PhysChem_Table[],14,FALSE)</f>
        <v>n.r.</v>
      </c>
      <c r="AB9" s="10" t="str">
        <f>VLOOKUP(Table3[[#This Row],[Marker Name / Summenformel]],PhysChem_Table[],15,FALSE)</f>
        <v>n.r.</v>
      </c>
      <c r="AC9" s="10">
        <f>VLOOKUP(Table3[[#This Row],[Marker Name / Summenformel]],PhysChem_Table[],16,FALSE)</f>
        <v>5.0000000000000001E-4</v>
      </c>
      <c r="AD9" s="10">
        <f>VLOOKUP(Table3[[#This Row],[Marker Name / Summenformel]],PhysChem_Table[],17,FALSE)</f>
        <v>20</v>
      </c>
      <c r="AE9" s="10" t="str">
        <f>VLOOKUP(Table3[[#This Row],[Marker Name / Summenformel]],PhysChem_Table[],18,FALSE)</f>
        <v>n.a.</v>
      </c>
      <c r="AF9" s="10" t="str">
        <f>VLOOKUP(Table3[[#This Row],[Marker Name / Summenformel]],PhysChem_Table[],19,FALSE)</f>
        <v>n.a.</v>
      </c>
      <c r="AG9" s="10" t="str">
        <f>VLOOKUP(Table3[[#This Row],[Marker Name / Summenformel]],PhysChem_Table[],20,FALSE)</f>
        <v>n.a.</v>
      </c>
      <c r="AH9" s="10" t="str">
        <f>VLOOKUP(Table3[[#This Row],[Marker Name / Summenformel]],PhysChem_Table[],21,FALSE)</f>
        <v>n.r.</v>
      </c>
      <c r="AI9" s="10" t="str">
        <f>VLOOKUP(Table3[[#This Row],[Marker Name / Summenformel]],PhysChem_Table[],22,FALSE)</f>
        <v>n.r.</v>
      </c>
      <c r="AJ9" s="10" t="str">
        <f>VLOOKUP(Table3[[#This Row],[Marker Name / Summenformel]],PhysChem_Table[],23,FALSE)</f>
        <v>n.r.</v>
      </c>
      <c r="AK9" s="10" t="str">
        <f>VLOOKUP(Table3[[#This Row],[Marker Name / Summenformel]],PhysChem_Table[],24,FALSE)</f>
        <v>N</v>
      </c>
      <c r="AL9" s="10" t="str">
        <f>VLOOKUP(Table3[[#This Row],[Marker Name / Summenformel]],PhysChem_Table[],25,FALSE)</f>
        <v>no flammability</v>
      </c>
      <c r="AM9" s="10" t="str">
        <f>VLOOKUP(Table3[[#This Row],[Marker Name / Summenformel]],PhysChem_Table[],26,FALSE)</f>
        <v>n.r.</v>
      </c>
      <c r="AN9" s="10" t="str">
        <f>VLOOKUP(Table3[[#This Row],[Marker Name / Summenformel]],PhysChem_Table[],27,FALSE)</f>
        <v>non oxidising</v>
      </c>
      <c r="AO9" s="10" t="str">
        <f>VLOOKUP(Table3[[#This Row],[Marker Name / Summenformel]],PhysChem_Table[],28,FALSE)</f>
        <v>n.a.</v>
      </c>
      <c r="AP9" s="10" t="str">
        <f>VLOOKUP(Table3[[#This Row],[Marker Name / Summenformel]],PhysChem_Table[],29,FALSE)</f>
        <v>n.a.</v>
      </c>
      <c r="AQ9" s="10" t="str">
        <f>VLOOKUP(Table3[[#This Row],[Marker Name / Summenformel]],PhysChem_Table[],30,FALSE)</f>
        <v>n.a.</v>
      </c>
      <c r="AR9" s="10" t="str">
        <f>VLOOKUP(Table3[[#This Row],[Marker Name / Summenformel]],PhysChem_Table[],31,FALSE)</f>
        <v>n.a.</v>
      </c>
      <c r="AS9" s="10" t="str">
        <f>VLOOKUP(Table3[[#This Row],[Marker Name / Summenformel]],PhysChem_Table[],32,FALSE)</f>
        <v>n.a.</v>
      </c>
      <c r="AT9" s="10" t="str">
        <f>VLOOKUP(Table3[[#This Row],[Marker Name / Summenformel]],PhysChem_Table[],33,FALSE)</f>
        <v>n.a.</v>
      </c>
      <c r="AU9" s="10" t="str">
        <f>VLOOKUP(Table3[[#This Row],[Marker Name / Summenformel]],PhysChem_Table[],34,FALSE)</f>
        <v>https://echa.europa.eu/de/registration-dossier/-/registered-dossier/22534</v>
      </c>
      <c r="AV9" s="10">
        <f>VLOOKUP(Table3[[#This Row],[Marker Name / Summenformel]],PhysChem_Table[],35,FALSE)</f>
        <v>0</v>
      </c>
    </row>
    <row r="10" spans="1:48" ht="15.6" customHeight="1" x14ac:dyDescent="0.3">
      <c r="A10" s="10" t="s">
        <v>690</v>
      </c>
      <c r="B10" s="10" t="str">
        <f>VLOOKUP(Table3[[#This Row],[Marker Name / Summenformel]],BaseInfos_Table[],2,FALSE)</f>
        <v>rare earth oxide</v>
      </c>
      <c r="C10" s="10" t="str">
        <f>VLOOKUP(Table3[[#This Row],[Marker Name / Summenformel]],BaseInfos_Table[],3,FALSE)</f>
        <v>1308-87-8</v>
      </c>
      <c r="D10" s="10" t="str">
        <f>VLOOKUP(Table3[[#This Row],[Marker Name / Summenformel]],BaseInfos_Table[],4,FALSE)</f>
        <v>215-164-0</v>
      </c>
      <c r="E10" s="10" t="str">
        <f>VLOOKUP(Table3[[#This Row],[Marker Name / Summenformel]],BaseInfos_Table[],5,FALSE)</f>
        <v>Bezati et al. 2011 / Resources Conservation &amp; Recycling</v>
      </c>
      <c r="F10" s="10" t="str">
        <f>VLOOKUP(Table3[[#This Row],[Marker Name / Summenformel]],BaseInfos_Table[],6,FALSE)</f>
        <v>XRF</v>
      </c>
      <c r="G10" s="10" t="str">
        <f>VLOOKUP(Table3[[#This Row],[Marker Name / Summenformel]],BaseInfos_Table[],7,FALSE)</f>
        <v>Y</v>
      </c>
      <c r="H10" s="10">
        <f>VLOOKUP(Table3[[#This Row],[Marker Name / Summenformel]],BaseInfos_Table[],8,FALSE)</f>
        <v>1</v>
      </c>
      <c r="I10" s="10" t="str">
        <f>VLOOKUP(Table3[[#This Row],[Marker Name / Summenformel]],BaseInfos_Table[],9,FALSE)</f>
        <v>https://echa.europa.eu/de/substance-information/-/substanceinfo/100.013.786</v>
      </c>
      <c r="J10" s="10" t="str">
        <f>VLOOKUP(Table3[[#This Row],[Marker Name / Summenformel]],BaseInfos_Table[],10,FALSE)</f>
        <v>https://www.sigmaaldrich.com/AT/en/search/1308-87-8?focus=products&amp;page=1&amp;perPage=30&amp;sort=relevance&amp;term=1308-87-8&amp;type=product</v>
      </c>
      <c r="K10" s="10">
        <f>VLOOKUP(Table3[[#This Row],[Marker Name / Summenformel]],BaseInfos_Table[],11,FALSE)</f>
        <v>0</v>
      </c>
      <c r="L10" s="10" t="str">
        <f>VLOOKUP(Table3[[#This Row],[Marker Name / Summenformel]],GHS_Table[#All],3,FALSE)</f>
        <v>REACH</v>
      </c>
      <c r="M10" s="10">
        <f>VLOOKUP(Table3[[#This Row],[Marker Name / Summenformel]],GHS_Table[#All],4,FALSE)</f>
        <v>0</v>
      </c>
      <c r="N10" s="10">
        <f>VLOOKUP(Table3[[#This Row],[Marker Name / Summenformel]],GHS_Table[#All],5,FALSE)</f>
        <v>3</v>
      </c>
      <c r="O10" s="10">
        <f>VLOOKUP(Table3[[#This Row],[Marker Name / Summenformel]],GHS_Table[#All],6,FALSE)</f>
        <v>0</v>
      </c>
      <c r="P10" s="10" t="str">
        <f>VLOOKUP(Table3[[#This Row],[Marker Name / Summenformel]],PhysChem_Table[],3,FALSE)</f>
        <v>solid: powder</v>
      </c>
      <c r="Q10" s="10" t="str">
        <f>VLOOKUP(Table3[[#This Row],[Marker Name / Summenformel]],PhysChem_Table[],4,FALSE)</f>
        <v>yellow</v>
      </c>
      <c r="R10" s="10">
        <f>VLOOKUP(Table3[[#This Row],[Marker Name / Summenformel]],PhysChem_Table[],5,FALSE)</f>
        <v>600</v>
      </c>
      <c r="S10" s="10">
        <f>VLOOKUP(Table3[[#This Row],[Marker Name / Summenformel]],PhysChem_Table[],6,FALSE)</f>
        <v>101.325</v>
      </c>
      <c r="T10" s="10" t="str">
        <f>VLOOKUP(Table3[[#This Row],[Marker Name / Summenformel]],PhysChem_Table[],7,FALSE)</f>
        <v>n.r.</v>
      </c>
      <c r="U10" s="10" t="str">
        <f>VLOOKUP(Table3[[#This Row],[Marker Name / Summenformel]],PhysChem_Table[],8,FALSE)</f>
        <v>n.r.</v>
      </c>
      <c r="V10" s="10">
        <f>VLOOKUP(Table3[[#This Row],[Marker Name / Summenformel]],PhysChem_Table[],9,FALSE)</f>
        <v>8.1210000000000004</v>
      </c>
      <c r="W10" s="10">
        <f>VLOOKUP(Table3[[#This Row],[Marker Name / Summenformel]],PhysChem_Table[],10,FALSE)</f>
        <v>21.6</v>
      </c>
      <c r="X10" s="10" t="str">
        <f>VLOOKUP(Table3[[#This Row],[Marker Name / Summenformel]],PhysChem_Table[],11,FALSE)</f>
        <v xml:space="preserve">0.5-9.3 um </v>
      </c>
      <c r="Y10" s="10" t="str">
        <f>VLOOKUP(Table3[[#This Row],[Marker Name / Summenformel]],PhysChem_Table[],12,FALSE)</f>
        <v>n.r.</v>
      </c>
      <c r="Z10" s="10" t="str">
        <f>VLOOKUP(Table3[[#This Row],[Marker Name / Summenformel]],PhysChem_Table[],13,FALSE)</f>
        <v>n.r.</v>
      </c>
      <c r="AA10" s="10" t="str">
        <f>VLOOKUP(Table3[[#This Row],[Marker Name / Summenformel]],PhysChem_Table[],14,FALSE)</f>
        <v>n.r.</v>
      </c>
      <c r="AB10" s="10" t="str">
        <f>VLOOKUP(Table3[[#This Row],[Marker Name / Summenformel]],PhysChem_Table[],15,FALSE)</f>
        <v>n.r.</v>
      </c>
      <c r="AC10" s="10">
        <f>VLOOKUP(Table3[[#This Row],[Marker Name / Summenformel]],PhysChem_Table[],16,FALSE)</f>
        <v>1.6000000000000001E-4</v>
      </c>
      <c r="AD10" s="10">
        <f>VLOOKUP(Table3[[#This Row],[Marker Name / Summenformel]],PhysChem_Table[],17,FALSE)</f>
        <v>20</v>
      </c>
      <c r="AE10" s="10" t="str">
        <f>VLOOKUP(Table3[[#This Row],[Marker Name / Summenformel]],PhysChem_Table[],18,FALSE)</f>
        <v>n.a.</v>
      </c>
      <c r="AF10" s="10" t="str">
        <f>VLOOKUP(Table3[[#This Row],[Marker Name / Summenformel]],PhysChem_Table[],19,FALSE)</f>
        <v>n.a.</v>
      </c>
      <c r="AG10" s="10" t="str">
        <f>VLOOKUP(Table3[[#This Row],[Marker Name / Summenformel]],PhysChem_Table[],20,FALSE)</f>
        <v>n.a.</v>
      </c>
      <c r="AH10" s="10" t="str">
        <f>VLOOKUP(Table3[[#This Row],[Marker Name / Summenformel]],PhysChem_Table[],21,FALSE)</f>
        <v>n.r.</v>
      </c>
      <c r="AI10" s="10" t="str">
        <f>VLOOKUP(Table3[[#This Row],[Marker Name / Summenformel]],PhysChem_Table[],22,FALSE)</f>
        <v>n.r.</v>
      </c>
      <c r="AJ10" s="10" t="str">
        <f>VLOOKUP(Table3[[#This Row],[Marker Name / Summenformel]],PhysChem_Table[],23,FALSE)</f>
        <v>n.r.</v>
      </c>
      <c r="AK10" s="10" t="str">
        <f>VLOOKUP(Table3[[#This Row],[Marker Name / Summenformel]],PhysChem_Table[],24,FALSE)</f>
        <v>N</v>
      </c>
      <c r="AL10" s="10" t="str">
        <f>VLOOKUP(Table3[[#This Row],[Marker Name / Summenformel]],PhysChem_Table[],25,FALSE)</f>
        <v>no flammability</v>
      </c>
      <c r="AM10" s="10" t="str">
        <f>VLOOKUP(Table3[[#This Row],[Marker Name / Summenformel]],PhysChem_Table[],26,FALSE)</f>
        <v>n.r.</v>
      </c>
      <c r="AN10" s="10" t="str">
        <f>VLOOKUP(Table3[[#This Row],[Marker Name / Summenformel]],PhysChem_Table[],27,FALSE)</f>
        <v>non oxidising</v>
      </c>
      <c r="AO10" s="10" t="str">
        <f>VLOOKUP(Table3[[#This Row],[Marker Name / Summenformel]],PhysChem_Table[],28,FALSE)</f>
        <v>n.a.</v>
      </c>
      <c r="AP10" s="10" t="str">
        <f>VLOOKUP(Table3[[#This Row],[Marker Name / Summenformel]],PhysChem_Table[],29,FALSE)</f>
        <v>n.a.</v>
      </c>
      <c r="AQ10" s="10" t="str">
        <f>VLOOKUP(Table3[[#This Row],[Marker Name / Summenformel]],PhysChem_Table[],30,FALSE)</f>
        <v>n.a.</v>
      </c>
      <c r="AR10" s="10" t="str">
        <f>VLOOKUP(Table3[[#This Row],[Marker Name / Summenformel]],PhysChem_Table[],31,FALSE)</f>
        <v>n.a.</v>
      </c>
      <c r="AS10" s="10" t="str">
        <f>VLOOKUP(Table3[[#This Row],[Marker Name / Summenformel]],PhysChem_Table[],32,FALSE)</f>
        <v>n.a.</v>
      </c>
      <c r="AT10" s="10" t="str">
        <f>VLOOKUP(Table3[[#This Row],[Marker Name / Summenformel]],PhysChem_Table[],33,FALSE)</f>
        <v>n.a.</v>
      </c>
      <c r="AU10" s="10" t="str">
        <f>VLOOKUP(Table3[[#This Row],[Marker Name / Summenformel]],PhysChem_Table[],34,FALSE)</f>
        <v>https://echa.europa.eu/de/registration-dossier/-/registered-dossier/22648</v>
      </c>
      <c r="AV10" s="10">
        <f>VLOOKUP(Table3[[#This Row],[Marker Name / Summenformel]],PhysChem_Table[],35,FALSE)</f>
        <v>0</v>
      </c>
    </row>
    <row r="11" spans="1:48" x14ac:dyDescent="0.3">
      <c r="A11" s="10" t="s">
        <v>11</v>
      </c>
      <c r="B11" s="10" t="str">
        <f>VLOOKUP(Table3[[#This Row],[Marker Name / Summenformel]],BaseInfos_Table[],2,FALSE)</f>
        <v>xanthene dye</v>
      </c>
      <c r="C11" s="10" t="str">
        <f>VLOOKUP(Table3[[#This Row],[Marker Name / Summenformel]],BaseInfos_Table[],3,FALSE)</f>
        <v>989-38-8</v>
      </c>
      <c r="D11" s="10" t="str">
        <f>VLOOKUP(Table3[[#This Row],[Marker Name / Summenformel]],BaseInfos_Table[],4,FALSE)</f>
        <v>213-584-9</v>
      </c>
      <c r="E11" s="10" t="str">
        <f>VLOOKUP(Table3[[#This Row],[Marker Name / Summenformel]],BaseInfos_Table[],5,FALSE)</f>
        <v>Arenas-Vivo et al. 2017 / materials today communications</v>
      </c>
      <c r="F11" s="10" t="str">
        <f>VLOOKUP(Table3[[#This Row],[Marker Name / Summenformel]],BaseInfos_Table[],6,FALSE)</f>
        <v>UV-Vis</v>
      </c>
      <c r="G11" s="10" t="str">
        <f>VLOOKUP(Table3[[#This Row],[Marker Name / Summenformel]],BaseInfos_Table[],7,FALSE)</f>
        <v>Y</v>
      </c>
      <c r="H11" s="10">
        <f>VLOOKUP(Table3[[#This Row],[Marker Name / Summenformel]],BaseInfos_Table[],8,FALSE)</f>
        <v>1</v>
      </c>
      <c r="I11" s="10" t="str">
        <f>VLOOKUP(Table3[[#This Row],[Marker Name / Summenformel]],BaseInfos_Table[],9,FALSE)</f>
        <v>https://echa.europa.eu/de/substance-information/-/substanceinfo/100.012.350</v>
      </c>
      <c r="J11" s="10" t="str">
        <f>VLOOKUP(Table3[[#This Row],[Marker Name / Summenformel]],BaseInfos_Table[],10,FALSE)</f>
        <v>https://www.sigmaaldrich.com/AT/en/search/989-38-8?focus=products&amp;page=1&amp;perPage=30&amp;sort=relevance&amp;term=989-38-8&amp;type=product</v>
      </c>
      <c r="K11" s="10">
        <f>VLOOKUP(Table3[[#This Row],[Marker Name / Summenformel]],BaseInfos_Table[],11,FALSE)</f>
        <v>0</v>
      </c>
      <c r="L11" s="10" t="str">
        <f>VLOOKUP(Table3[[#This Row],[Marker Name / Summenformel]],GHS_Table[#All],3,FALSE)</f>
        <v>REACH</v>
      </c>
      <c r="M11" s="10">
        <f>VLOOKUP(Table3[[#This Row],[Marker Name / Summenformel]],GHS_Table[#All],4,FALSE)</f>
        <v>5</v>
      </c>
      <c r="N11" s="10">
        <f>VLOOKUP(Table3[[#This Row],[Marker Name / Summenformel]],GHS_Table[#All],5,FALSE)</f>
        <v>5</v>
      </c>
      <c r="O11" s="10">
        <f>VLOOKUP(Table3[[#This Row],[Marker Name / Summenformel]],GHS_Table[#All],6,FALSE)</f>
        <v>5</v>
      </c>
      <c r="P11" s="10" t="str">
        <f>VLOOKUP(Table3[[#This Row],[Marker Name / Summenformel]],PhysChem_Table[],3,FALSE)</f>
        <v>solid: powder</v>
      </c>
      <c r="Q11" s="10" t="str">
        <f>VLOOKUP(Table3[[#This Row],[Marker Name / Summenformel]],PhysChem_Table[],4,FALSE)</f>
        <v>red</v>
      </c>
      <c r="R11" s="10">
        <f>VLOOKUP(Table3[[#This Row],[Marker Name / Summenformel]],PhysChem_Table[],5,FALSE)</f>
        <v>229.4</v>
      </c>
      <c r="S11" s="10">
        <f>VLOOKUP(Table3[[#This Row],[Marker Name / Summenformel]],PhysChem_Table[],6,FALSE)</f>
        <v>101.325</v>
      </c>
      <c r="T11" s="10" t="str">
        <f>VLOOKUP(Table3[[#This Row],[Marker Name / Summenformel]],PhysChem_Table[],7,FALSE)</f>
        <v>n.r.</v>
      </c>
      <c r="U11" s="10" t="str">
        <f>VLOOKUP(Table3[[#This Row],[Marker Name / Summenformel]],PhysChem_Table[],8,FALSE)</f>
        <v>n.r.</v>
      </c>
      <c r="V11" s="10">
        <f>VLOOKUP(Table3[[#This Row],[Marker Name / Summenformel]],PhysChem_Table[],9,FALSE)</f>
        <v>1.2969999999999999</v>
      </c>
      <c r="W11" s="10">
        <f>VLOOKUP(Table3[[#This Row],[Marker Name / Summenformel]],PhysChem_Table[],10,FALSE)</f>
        <v>20</v>
      </c>
      <c r="X11" s="10" t="str">
        <f>VLOOKUP(Table3[[#This Row],[Marker Name / Summenformel]],PhysChem_Table[],11,FALSE)</f>
        <v>2.3-23.8 um</v>
      </c>
      <c r="Y11" s="10">
        <f>VLOOKUP(Table3[[#This Row],[Marker Name / Summenformel]],PhysChem_Table[],12,FALSE)</f>
        <v>2.3999999999999998E-11</v>
      </c>
      <c r="Z11" s="10">
        <f>VLOOKUP(Table3[[#This Row],[Marker Name / Summenformel]],PhysChem_Table[],13,FALSE)</f>
        <v>25</v>
      </c>
      <c r="AA11" s="10">
        <f>VLOOKUP(Table3[[#This Row],[Marker Name / Summenformel]],PhysChem_Table[],14,FALSE)</f>
        <v>0.1</v>
      </c>
      <c r="AB11" s="10">
        <f>VLOOKUP(Table3[[#This Row],[Marker Name / Summenformel]],PhysChem_Table[],15,FALSE)</f>
        <v>24</v>
      </c>
      <c r="AC11" s="10">
        <f>VLOOKUP(Table3[[#This Row],[Marker Name / Summenformel]],PhysChem_Table[],16,FALSE)</f>
        <v>77.900000000000006</v>
      </c>
      <c r="AD11" s="10">
        <f>VLOOKUP(Table3[[#This Row],[Marker Name / Summenformel]],PhysChem_Table[],17,FALSE)</f>
        <v>20</v>
      </c>
      <c r="AE11" s="10" t="str">
        <f>VLOOKUP(Table3[[#This Row],[Marker Name / Summenformel]],PhysChem_Table[],18,FALSE)</f>
        <v>n.a.</v>
      </c>
      <c r="AF11" s="10" t="str">
        <f>VLOOKUP(Table3[[#This Row],[Marker Name / Summenformel]],PhysChem_Table[],19,FALSE)</f>
        <v>n.a.</v>
      </c>
      <c r="AG11" s="10" t="str">
        <f>VLOOKUP(Table3[[#This Row],[Marker Name / Summenformel]],PhysChem_Table[],20,FALSE)</f>
        <v>n.a.</v>
      </c>
      <c r="AH11" s="10" t="str">
        <f>VLOOKUP(Table3[[#This Row],[Marker Name / Summenformel]],PhysChem_Table[],21,FALSE)</f>
        <v>n.r.</v>
      </c>
      <c r="AI11" s="10" t="str">
        <f>VLOOKUP(Table3[[#This Row],[Marker Name / Summenformel]],PhysChem_Table[],22,FALSE)</f>
        <v>n.r.</v>
      </c>
      <c r="AJ11" s="10" t="str">
        <f>VLOOKUP(Table3[[#This Row],[Marker Name / Summenformel]],PhysChem_Table[],23,FALSE)</f>
        <v>n.r.</v>
      </c>
      <c r="AK11" s="10" t="str">
        <f>VLOOKUP(Table3[[#This Row],[Marker Name / Summenformel]],PhysChem_Table[],24,FALSE)</f>
        <v>N</v>
      </c>
      <c r="AL11" s="10" t="str">
        <f>VLOOKUP(Table3[[#This Row],[Marker Name / Summenformel]],PhysChem_Table[],25,FALSE)</f>
        <v>no flammability</v>
      </c>
      <c r="AM11" s="10" t="str">
        <f>VLOOKUP(Table3[[#This Row],[Marker Name / Summenformel]],PhysChem_Table[],26,FALSE)</f>
        <v>n.r.</v>
      </c>
      <c r="AN11" s="10" t="str">
        <f>VLOOKUP(Table3[[#This Row],[Marker Name / Summenformel]],PhysChem_Table[],27,FALSE)</f>
        <v>non oxidising</v>
      </c>
      <c r="AO11" s="10" t="str">
        <f>VLOOKUP(Table3[[#This Row],[Marker Name / Summenformel]],PhysChem_Table[],28,FALSE)</f>
        <v>n.a.</v>
      </c>
      <c r="AP11" s="10" t="str">
        <f>VLOOKUP(Table3[[#This Row],[Marker Name / Summenformel]],PhysChem_Table[],29,FALSE)</f>
        <v>n.a.</v>
      </c>
      <c r="AQ11" s="10" t="str">
        <f>VLOOKUP(Table3[[#This Row],[Marker Name / Summenformel]],PhysChem_Table[],30,FALSE)</f>
        <v>n.a.</v>
      </c>
      <c r="AR11" s="10" t="str">
        <f>VLOOKUP(Table3[[#This Row],[Marker Name / Summenformel]],PhysChem_Table[],31,FALSE)</f>
        <v>n.a.</v>
      </c>
      <c r="AS11" s="10" t="str">
        <f>VLOOKUP(Table3[[#This Row],[Marker Name / Summenformel]],PhysChem_Table[],32,FALSE)</f>
        <v>n.a.</v>
      </c>
      <c r="AT11" s="10" t="str">
        <f>VLOOKUP(Table3[[#This Row],[Marker Name / Summenformel]],PhysChem_Table[],33,FALSE)</f>
        <v>n.a.</v>
      </c>
      <c r="AU11" s="10" t="str">
        <f>VLOOKUP(Table3[[#This Row],[Marker Name / Summenformel]],PhysChem_Table[],34,FALSE)</f>
        <v>https://echa.europa.eu/de/registration-dossier/-/registered-dossier/25449</v>
      </c>
      <c r="AV11" s="10">
        <f>VLOOKUP(Table3[[#This Row],[Marker Name / Summenformel]],PhysChem_Table[],35,FALSE)</f>
        <v>0</v>
      </c>
    </row>
    <row r="12" spans="1:48" x14ac:dyDescent="0.3">
      <c r="A12" s="10" t="s">
        <v>12</v>
      </c>
      <c r="B12" s="10" t="str">
        <f>VLOOKUP(Table3[[#This Row],[Marker Name / Summenformel]],BaseInfos_Table[],2,FALSE)</f>
        <v>modified quinacridone</v>
      </c>
      <c r="C12" s="10" t="str">
        <f>VLOOKUP(Table3[[#This Row],[Marker Name / Summenformel]],BaseInfos_Table[],3,FALSE)</f>
        <v>n.a.</v>
      </c>
      <c r="D12" s="10" t="str">
        <f>VLOOKUP(Table3[[#This Row],[Marker Name / Summenformel]],BaseInfos_Table[],4,FALSE)</f>
        <v>n.a.</v>
      </c>
      <c r="E12" s="10" t="str">
        <f>VLOOKUP(Table3[[#This Row],[Marker Name / Summenformel]],BaseInfos_Table[],5,FALSE)</f>
        <v>Arenas-Vivo et al. 2017 / materials today communications</v>
      </c>
      <c r="F12" s="10" t="str">
        <f>VLOOKUP(Table3[[#This Row],[Marker Name / Summenformel]],BaseInfos_Table[],6,FALSE)</f>
        <v>UV-Vis</v>
      </c>
      <c r="G12" s="10" t="str">
        <f>VLOOKUP(Table3[[#This Row],[Marker Name / Summenformel]],BaseInfos_Table[],7,FALSE)</f>
        <v xml:space="preserve">N </v>
      </c>
      <c r="H12" s="10" t="str">
        <f>VLOOKUP(Table3[[#This Row],[Marker Name / Summenformel]],BaseInfos_Table[],8,FALSE)</f>
        <v>n.a.</v>
      </c>
      <c r="I12" s="10" t="str">
        <f>VLOOKUP(Table3[[#This Row],[Marker Name / Summenformel]],BaseInfos_Table[],9,FALSE)</f>
        <v>n.a.</v>
      </c>
      <c r="J12" s="10" t="str">
        <f>VLOOKUP(Table3[[#This Row],[Marker Name / Summenformel]],BaseInfos_Table[],10,FALSE)</f>
        <v>n.a.</v>
      </c>
      <c r="K12" s="10">
        <f>VLOOKUP(Table3[[#This Row],[Marker Name / Summenformel]],BaseInfos_Table[],11,FALSE)</f>
        <v>0</v>
      </c>
      <c r="L12" s="10" t="str">
        <f>VLOOKUP(Table3[[#This Row],[Marker Name / Summenformel]],GHS_Table[#All],3,FALSE)</f>
        <v>n.a.</v>
      </c>
      <c r="M12" s="10" t="str">
        <f>VLOOKUP(Table3[[#This Row],[Marker Name / Summenformel]],GHS_Table[#All],4,FALSE)</f>
        <v>n.a.</v>
      </c>
      <c r="N12" s="10" t="str">
        <f>VLOOKUP(Table3[[#This Row],[Marker Name / Summenformel]],GHS_Table[#All],5,FALSE)</f>
        <v>n.a.</v>
      </c>
      <c r="O12" s="10" t="str">
        <f>VLOOKUP(Table3[[#This Row],[Marker Name / Summenformel]],GHS_Table[#All],6,FALSE)</f>
        <v>n.a.</v>
      </c>
      <c r="P12" s="10" t="str">
        <f>VLOOKUP(Table3[[#This Row],[Marker Name / Summenformel]],PhysChem_Table[],3,FALSE)</f>
        <v>n.a.</v>
      </c>
      <c r="Q12" s="10" t="str">
        <f>VLOOKUP(Table3[[#This Row],[Marker Name / Summenformel]],PhysChem_Table[],4,FALSE)</f>
        <v>n.a.</v>
      </c>
      <c r="R12" s="10" t="str">
        <f>VLOOKUP(Table3[[#This Row],[Marker Name / Summenformel]],PhysChem_Table[],5,FALSE)</f>
        <v>n.a.</v>
      </c>
      <c r="S12" s="10" t="str">
        <f>VLOOKUP(Table3[[#This Row],[Marker Name / Summenformel]],PhysChem_Table[],6,FALSE)</f>
        <v>n.a.</v>
      </c>
      <c r="T12" s="10" t="str">
        <f>VLOOKUP(Table3[[#This Row],[Marker Name / Summenformel]],PhysChem_Table[],7,FALSE)</f>
        <v>n.a.</v>
      </c>
      <c r="U12" s="10" t="str">
        <f>VLOOKUP(Table3[[#This Row],[Marker Name / Summenformel]],PhysChem_Table[],8,FALSE)</f>
        <v>n.a.</v>
      </c>
      <c r="V12" s="10" t="str">
        <f>VLOOKUP(Table3[[#This Row],[Marker Name / Summenformel]],PhysChem_Table[],9,FALSE)</f>
        <v>n.a.</v>
      </c>
      <c r="W12" s="10" t="str">
        <f>VLOOKUP(Table3[[#This Row],[Marker Name / Summenformel]],PhysChem_Table[],10,FALSE)</f>
        <v>n.a.</v>
      </c>
      <c r="X12" s="10" t="str">
        <f>VLOOKUP(Table3[[#This Row],[Marker Name / Summenformel]],PhysChem_Table[],11,FALSE)</f>
        <v>n.a.</v>
      </c>
      <c r="Y12" s="10" t="str">
        <f>VLOOKUP(Table3[[#This Row],[Marker Name / Summenformel]],PhysChem_Table[],12,FALSE)</f>
        <v>n.a.</v>
      </c>
      <c r="Z12" s="10" t="str">
        <f>VLOOKUP(Table3[[#This Row],[Marker Name / Summenformel]],PhysChem_Table[],13,FALSE)</f>
        <v>n.a.</v>
      </c>
      <c r="AA12" s="10" t="str">
        <f>VLOOKUP(Table3[[#This Row],[Marker Name / Summenformel]],PhysChem_Table[],14,FALSE)</f>
        <v>n.a.</v>
      </c>
      <c r="AB12" s="10" t="str">
        <f>VLOOKUP(Table3[[#This Row],[Marker Name / Summenformel]],PhysChem_Table[],15,FALSE)</f>
        <v>n.a.</v>
      </c>
      <c r="AC12" s="10" t="str">
        <f>VLOOKUP(Table3[[#This Row],[Marker Name / Summenformel]],PhysChem_Table[],16,FALSE)</f>
        <v>n.a.</v>
      </c>
      <c r="AD12" s="10" t="str">
        <f>VLOOKUP(Table3[[#This Row],[Marker Name / Summenformel]],PhysChem_Table[],17,FALSE)</f>
        <v>n.a.</v>
      </c>
      <c r="AE12" s="10" t="str">
        <f>VLOOKUP(Table3[[#This Row],[Marker Name / Summenformel]],PhysChem_Table[],18,FALSE)</f>
        <v>n.a.</v>
      </c>
      <c r="AF12" s="10" t="str">
        <f>VLOOKUP(Table3[[#This Row],[Marker Name / Summenformel]],PhysChem_Table[],19,FALSE)</f>
        <v>n.a.</v>
      </c>
      <c r="AG12" s="10" t="str">
        <f>VLOOKUP(Table3[[#This Row],[Marker Name / Summenformel]],PhysChem_Table[],20,FALSE)</f>
        <v>n.a.</v>
      </c>
      <c r="AH12" s="10" t="str">
        <f>VLOOKUP(Table3[[#This Row],[Marker Name / Summenformel]],PhysChem_Table[],21,FALSE)</f>
        <v>n.a.</v>
      </c>
      <c r="AI12" s="10" t="str">
        <f>VLOOKUP(Table3[[#This Row],[Marker Name / Summenformel]],PhysChem_Table[],22,FALSE)</f>
        <v>n.a.</v>
      </c>
      <c r="AJ12" s="10" t="str">
        <f>VLOOKUP(Table3[[#This Row],[Marker Name / Summenformel]],PhysChem_Table[],23,FALSE)</f>
        <v>n.a.</v>
      </c>
      <c r="AK12" s="10" t="str">
        <f>VLOOKUP(Table3[[#This Row],[Marker Name / Summenformel]],PhysChem_Table[],24,FALSE)</f>
        <v>n.a.</v>
      </c>
      <c r="AL12" s="10" t="str">
        <f>VLOOKUP(Table3[[#This Row],[Marker Name / Summenformel]],PhysChem_Table[],25,FALSE)</f>
        <v>n.a.</v>
      </c>
      <c r="AM12" s="10" t="str">
        <f>VLOOKUP(Table3[[#This Row],[Marker Name / Summenformel]],PhysChem_Table[],26,FALSE)</f>
        <v>n.a.</v>
      </c>
      <c r="AN12" s="10" t="str">
        <f>VLOOKUP(Table3[[#This Row],[Marker Name / Summenformel]],PhysChem_Table[],27,FALSE)</f>
        <v>n.a.</v>
      </c>
      <c r="AO12" s="10" t="str">
        <f>VLOOKUP(Table3[[#This Row],[Marker Name / Summenformel]],PhysChem_Table[],28,FALSE)</f>
        <v>n.a.</v>
      </c>
      <c r="AP12" s="10" t="str">
        <f>VLOOKUP(Table3[[#This Row],[Marker Name / Summenformel]],PhysChem_Table[],29,FALSE)</f>
        <v>n.a.</v>
      </c>
      <c r="AQ12" s="10" t="str">
        <f>VLOOKUP(Table3[[#This Row],[Marker Name / Summenformel]],PhysChem_Table[],30,FALSE)</f>
        <v>n.a.</v>
      </c>
      <c r="AR12" s="10" t="str">
        <f>VLOOKUP(Table3[[#This Row],[Marker Name / Summenformel]],PhysChem_Table[],31,FALSE)</f>
        <v>n.a.</v>
      </c>
      <c r="AS12" s="10" t="str">
        <f>VLOOKUP(Table3[[#This Row],[Marker Name / Summenformel]],PhysChem_Table[],32,FALSE)</f>
        <v>n.a.</v>
      </c>
      <c r="AT12" s="10" t="str">
        <f>VLOOKUP(Table3[[#This Row],[Marker Name / Summenformel]],PhysChem_Table[],33,FALSE)</f>
        <v>n.a.</v>
      </c>
      <c r="AU12" s="10" t="str">
        <f>VLOOKUP(Table3[[#This Row],[Marker Name / Summenformel]],PhysChem_Table[],34,FALSE)</f>
        <v>n.a.</v>
      </c>
      <c r="AV12" s="10">
        <f>VLOOKUP(Table3[[#This Row],[Marker Name / Summenformel]],PhysChem_Table[],35,FALSE)</f>
        <v>0</v>
      </c>
    </row>
    <row r="13" spans="1:48" x14ac:dyDescent="0.3">
      <c r="A13" s="10" t="s">
        <v>19</v>
      </c>
      <c r="B13" s="10" t="str">
        <f>VLOOKUP(Table3[[#This Row],[Marker Name / Summenformel]],BaseInfos_Table[],2,FALSE)</f>
        <v>Perylene carboxyl</v>
      </c>
      <c r="C13" s="10" t="str">
        <f>VLOOKUP(Table3[[#This Row],[Marker Name / Summenformel]],BaseInfos_Table[],3,FALSE)</f>
        <v>n.a.</v>
      </c>
      <c r="D13" s="10" t="str">
        <f>VLOOKUP(Table3[[#This Row],[Marker Name / Summenformel]],BaseInfos_Table[],4,FALSE)</f>
        <v>n.a.</v>
      </c>
      <c r="E13" s="10" t="str">
        <f>VLOOKUP(Table3[[#This Row],[Marker Name / Summenformel]],BaseInfos_Table[],5,FALSE)</f>
        <v>Langhals et al. 2014 / Green and sustainable chemistry</v>
      </c>
      <c r="F13" s="10" t="str">
        <f>VLOOKUP(Table3[[#This Row],[Marker Name / Summenformel]],BaseInfos_Table[],6,FALSE)</f>
        <v>IR</v>
      </c>
      <c r="G13" s="10" t="str">
        <f>VLOOKUP(Table3[[#This Row],[Marker Name / Summenformel]],BaseInfos_Table[],7,FALSE)</f>
        <v xml:space="preserve">N </v>
      </c>
      <c r="H13" s="10" t="str">
        <f>VLOOKUP(Table3[[#This Row],[Marker Name / Summenformel]],BaseInfos_Table[],8,FALSE)</f>
        <v>n.a.</v>
      </c>
      <c r="I13" s="10" t="str">
        <f>VLOOKUP(Table3[[#This Row],[Marker Name / Summenformel]],BaseInfos_Table[],9,FALSE)</f>
        <v>n.a.</v>
      </c>
      <c r="J13" s="10" t="str">
        <f>VLOOKUP(Table3[[#This Row],[Marker Name / Summenformel]],BaseInfos_Table[],10,FALSE)</f>
        <v>n.a.</v>
      </c>
      <c r="K13" s="10">
        <f>VLOOKUP(Table3[[#This Row],[Marker Name / Summenformel]],BaseInfos_Table[],11,FALSE)</f>
        <v>0</v>
      </c>
      <c r="L13" s="10" t="str">
        <f>VLOOKUP(Table3[[#This Row],[Marker Name / Summenformel]],GHS_Table[#All],3,FALSE)</f>
        <v>n.a.</v>
      </c>
      <c r="M13" s="10" t="str">
        <f>VLOOKUP(Table3[[#This Row],[Marker Name / Summenformel]],GHS_Table[#All],4,FALSE)</f>
        <v>n.a.</v>
      </c>
      <c r="N13" s="10" t="str">
        <f>VLOOKUP(Table3[[#This Row],[Marker Name / Summenformel]],GHS_Table[#All],5,FALSE)</f>
        <v>n.a.</v>
      </c>
      <c r="O13" s="10" t="str">
        <f>VLOOKUP(Table3[[#This Row],[Marker Name / Summenformel]],GHS_Table[#All],6,FALSE)</f>
        <v>n.a.</v>
      </c>
      <c r="P13" s="10" t="str">
        <f>VLOOKUP(Table3[[#This Row],[Marker Name / Summenformel]],PhysChem_Table[],3,FALSE)</f>
        <v>n.a.</v>
      </c>
      <c r="Q13" s="10" t="str">
        <f>VLOOKUP(Table3[[#This Row],[Marker Name / Summenformel]],PhysChem_Table[],4,FALSE)</f>
        <v>n.a.</v>
      </c>
      <c r="R13" s="10" t="str">
        <f>VLOOKUP(Table3[[#This Row],[Marker Name / Summenformel]],PhysChem_Table[],5,FALSE)</f>
        <v>n.a.</v>
      </c>
      <c r="S13" s="10" t="str">
        <f>VLOOKUP(Table3[[#This Row],[Marker Name / Summenformel]],PhysChem_Table[],6,FALSE)</f>
        <v>n.a.</v>
      </c>
      <c r="T13" s="10" t="str">
        <f>VLOOKUP(Table3[[#This Row],[Marker Name / Summenformel]],PhysChem_Table[],7,FALSE)</f>
        <v>n.a.</v>
      </c>
      <c r="U13" s="10" t="str">
        <f>VLOOKUP(Table3[[#This Row],[Marker Name / Summenformel]],PhysChem_Table[],8,FALSE)</f>
        <v>n.a.</v>
      </c>
      <c r="V13" s="10" t="str">
        <f>VLOOKUP(Table3[[#This Row],[Marker Name / Summenformel]],PhysChem_Table[],9,FALSE)</f>
        <v>n.a.</v>
      </c>
      <c r="W13" s="10" t="str">
        <f>VLOOKUP(Table3[[#This Row],[Marker Name / Summenformel]],PhysChem_Table[],10,FALSE)</f>
        <v>n.a.</v>
      </c>
      <c r="X13" s="10" t="str">
        <f>VLOOKUP(Table3[[#This Row],[Marker Name / Summenformel]],PhysChem_Table[],11,FALSE)</f>
        <v>n.a.</v>
      </c>
      <c r="Y13" s="10" t="str">
        <f>VLOOKUP(Table3[[#This Row],[Marker Name / Summenformel]],PhysChem_Table[],12,FALSE)</f>
        <v>n.a.</v>
      </c>
      <c r="Z13" s="10" t="str">
        <f>VLOOKUP(Table3[[#This Row],[Marker Name / Summenformel]],PhysChem_Table[],13,FALSE)</f>
        <v>n.a.</v>
      </c>
      <c r="AA13" s="10" t="str">
        <f>VLOOKUP(Table3[[#This Row],[Marker Name / Summenformel]],PhysChem_Table[],14,FALSE)</f>
        <v>n.a.</v>
      </c>
      <c r="AB13" s="10" t="str">
        <f>VLOOKUP(Table3[[#This Row],[Marker Name / Summenformel]],PhysChem_Table[],15,FALSE)</f>
        <v>n.a.</v>
      </c>
      <c r="AC13" s="10" t="str">
        <f>VLOOKUP(Table3[[#This Row],[Marker Name / Summenformel]],PhysChem_Table[],16,FALSE)</f>
        <v>n.a.</v>
      </c>
      <c r="AD13" s="10" t="str">
        <f>VLOOKUP(Table3[[#This Row],[Marker Name / Summenformel]],PhysChem_Table[],17,FALSE)</f>
        <v>n.a.</v>
      </c>
      <c r="AE13" s="10" t="str">
        <f>VLOOKUP(Table3[[#This Row],[Marker Name / Summenformel]],PhysChem_Table[],18,FALSE)</f>
        <v>n.a.</v>
      </c>
      <c r="AF13" s="10" t="str">
        <f>VLOOKUP(Table3[[#This Row],[Marker Name / Summenformel]],PhysChem_Table[],19,FALSE)</f>
        <v>n.a.</v>
      </c>
      <c r="AG13" s="10" t="str">
        <f>VLOOKUP(Table3[[#This Row],[Marker Name / Summenformel]],PhysChem_Table[],20,FALSE)</f>
        <v>n.a.</v>
      </c>
      <c r="AH13" s="10" t="str">
        <f>VLOOKUP(Table3[[#This Row],[Marker Name / Summenformel]],PhysChem_Table[],21,FALSE)</f>
        <v>n.a.</v>
      </c>
      <c r="AI13" s="10" t="str">
        <f>VLOOKUP(Table3[[#This Row],[Marker Name / Summenformel]],PhysChem_Table[],22,FALSE)</f>
        <v>n.a.</v>
      </c>
      <c r="AJ13" s="10" t="str">
        <f>VLOOKUP(Table3[[#This Row],[Marker Name / Summenformel]],PhysChem_Table[],23,FALSE)</f>
        <v>n.a.</v>
      </c>
      <c r="AK13" s="10" t="str">
        <f>VLOOKUP(Table3[[#This Row],[Marker Name / Summenformel]],PhysChem_Table[],24,FALSE)</f>
        <v>n.a.</v>
      </c>
      <c r="AL13" s="10" t="str">
        <f>VLOOKUP(Table3[[#This Row],[Marker Name / Summenformel]],PhysChem_Table[],25,FALSE)</f>
        <v>n.a.</v>
      </c>
      <c r="AM13" s="10" t="str">
        <f>VLOOKUP(Table3[[#This Row],[Marker Name / Summenformel]],PhysChem_Table[],26,FALSE)</f>
        <v>n.a.</v>
      </c>
      <c r="AN13" s="10" t="str">
        <f>VLOOKUP(Table3[[#This Row],[Marker Name / Summenformel]],PhysChem_Table[],27,FALSE)</f>
        <v>n.a.</v>
      </c>
      <c r="AO13" s="10" t="str">
        <f>VLOOKUP(Table3[[#This Row],[Marker Name / Summenformel]],PhysChem_Table[],28,FALSE)</f>
        <v>n.a.</v>
      </c>
      <c r="AP13" s="10" t="str">
        <f>VLOOKUP(Table3[[#This Row],[Marker Name / Summenformel]],PhysChem_Table[],29,FALSE)</f>
        <v>n.a.</v>
      </c>
      <c r="AQ13" s="10" t="str">
        <f>VLOOKUP(Table3[[#This Row],[Marker Name / Summenformel]],PhysChem_Table[],30,FALSE)</f>
        <v>n.a.</v>
      </c>
      <c r="AR13" s="10" t="str">
        <f>VLOOKUP(Table3[[#This Row],[Marker Name / Summenformel]],PhysChem_Table[],31,FALSE)</f>
        <v>n.a.</v>
      </c>
      <c r="AS13" s="10" t="str">
        <f>VLOOKUP(Table3[[#This Row],[Marker Name / Summenformel]],PhysChem_Table[],32,FALSE)</f>
        <v>n.a.</v>
      </c>
      <c r="AT13" s="10" t="str">
        <f>VLOOKUP(Table3[[#This Row],[Marker Name / Summenformel]],PhysChem_Table[],33,FALSE)</f>
        <v>n.a.</v>
      </c>
      <c r="AU13" s="10" t="str">
        <f>VLOOKUP(Table3[[#This Row],[Marker Name / Summenformel]],PhysChem_Table[],34,FALSE)</f>
        <v>n.a.</v>
      </c>
      <c r="AV13" s="10">
        <f>VLOOKUP(Table3[[#This Row],[Marker Name / Summenformel]],PhysChem_Table[],35,FALSE)</f>
        <v>0</v>
      </c>
    </row>
    <row r="14" spans="1:48" x14ac:dyDescent="0.3">
      <c r="A14" s="10" t="s">
        <v>21</v>
      </c>
      <c r="B14" s="10" t="str">
        <f>VLOOKUP(Table3[[#This Row],[Marker Name / Summenformel]],BaseInfos_Table[],2,FALSE)</f>
        <v>Perylene diimide</v>
      </c>
      <c r="C14" s="10" t="str">
        <f>VLOOKUP(Table3[[#This Row],[Marker Name / Summenformel]],BaseInfos_Table[],3,FALSE)</f>
        <v>n.a.</v>
      </c>
      <c r="D14" s="10" t="str">
        <f>VLOOKUP(Table3[[#This Row],[Marker Name / Summenformel]],BaseInfos_Table[],4,FALSE)</f>
        <v>n.a.</v>
      </c>
      <c r="E14" s="10" t="str">
        <f>VLOOKUP(Table3[[#This Row],[Marker Name / Summenformel]],BaseInfos_Table[],5,FALSE)</f>
        <v>Langhals et al. 2014 / Green and sustainable chemistry</v>
      </c>
      <c r="F14" s="10" t="str">
        <f>VLOOKUP(Table3[[#This Row],[Marker Name / Summenformel]],BaseInfos_Table[],6,FALSE)</f>
        <v>IR</v>
      </c>
      <c r="G14" s="10" t="str">
        <f>VLOOKUP(Table3[[#This Row],[Marker Name / Summenformel]],BaseInfos_Table[],7,FALSE)</f>
        <v xml:space="preserve">N </v>
      </c>
      <c r="H14" s="10" t="str">
        <f>VLOOKUP(Table3[[#This Row],[Marker Name / Summenformel]],BaseInfos_Table[],8,FALSE)</f>
        <v>n.a.</v>
      </c>
      <c r="I14" s="10" t="str">
        <f>VLOOKUP(Table3[[#This Row],[Marker Name / Summenformel]],BaseInfos_Table[],9,FALSE)</f>
        <v>n.a.</v>
      </c>
      <c r="J14" s="10" t="str">
        <f>VLOOKUP(Table3[[#This Row],[Marker Name / Summenformel]],BaseInfos_Table[],10,FALSE)</f>
        <v>n.a.</v>
      </c>
      <c r="K14" s="10">
        <f>VLOOKUP(Table3[[#This Row],[Marker Name / Summenformel]],BaseInfos_Table[],11,FALSE)</f>
        <v>0</v>
      </c>
      <c r="L14" s="10" t="str">
        <f>VLOOKUP(Table3[[#This Row],[Marker Name / Summenformel]],GHS_Table[#All],3,FALSE)</f>
        <v>n.a.</v>
      </c>
      <c r="M14" s="10" t="str">
        <f>VLOOKUP(Table3[[#This Row],[Marker Name / Summenformel]],GHS_Table[#All],4,FALSE)</f>
        <v>n.a.</v>
      </c>
      <c r="N14" s="10" t="str">
        <f>VLOOKUP(Table3[[#This Row],[Marker Name / Summenformel]],GHS_Table[#All],5,FALSE)</f>
        <v>n.a.</v>
      </c>
      <c r="O14" s="10" t="str">
        <f>VLOOKUP(Table3[[#This Row],[Marker Name / Summenformel]],GHS_Table[#All],6,FALSE)</f>
        <v>n.a.</v>
      </c>
      <c r="P14" s="10" t="str">
        <f>VLOOKUP(Table3[[#This Row],[Marker Name / Summenformel]],PhysChem_Table[],3,FALSE)</f>
        <v>n.a.</v>
      </c>
      <c r="Q14" s="10" t="str">
        <f>VLOOKUP(Table3[[#This Row],[Marker Name / Summenformel]],PhysChem_Table[],4,FALSE)</f>
        <v>n.a.</v>
      </c>
      <c r="R14" s="10" t="str">
        <f>VLOOKUP(Table3[[#This Row],[Marker Name / Summenformel]],PhysChem_Table[],5,FALSE)</f>
        <v>n.a.</v>
      </c>
      <c r="S14" s="10" t="str">
        <f>VLOOKUP(Table3[[#This Row],[Marker Name / Summenformel]],PhysChem_Table[],6,FALSE)</f>
        <v>n.a.</v>
      </c>
      <c r="T14" s="10" t="str">
        <f>VLOOKUP(Table3[[#This Row],[Marker Name / Summenformel]],PhysChem_Table[],7,FALSE)</f>
        <v>n.a.</v>
      </c>
      <c r="U14" s="10" t="str">
        <f>VLOOKUP(Table3[[#This Row],[Marker Name / Summenformel]],PhysChem_Table[],8,FALSE)</f>
        <v>n.a.</v>
      </c>
      <c r="V14" s="10" t="str">
        <f>VLOOKUP(Table3[[#This Row],[Marker Name / Summenformel]],PhysChem_Table[],9,FALSE)</f>
        <v>n.a.</v>
      </c>
      <c r="W14" s="10" t="str">
        <f>VLOOKUP(Table3[[#This Row],[Marker Name / Summenformel]],PhysChem_Table[],10,FALSE)</f>
        <v>n.a.</v>
      </c>
      <c r="X14" s="10" t="str">
        <f>VLOOKUP(Table3[[#This Row],[Marker Name / Summenformel]],PhysChem_Table[],11,FALSE)</f>
        <v>n.a.</v>
      </c>
      <c r="Y14" s="10" t="str">
        <f>VLOOKUP(Table3[[#This Row],[Marker Name / Summenformel]],PhysChem_Table[],12,FALSE)</f>
        <v>n.a.</v>
      </c>
      <c r="Z14" s="10" t="str">
        <f>VLOOKUP(Table3[[#This Row],[Marker Name / Summenformel]],PhysChem_Table[],13,FALSE)</f>
        <v>n.a.</v>
      </c>
      <c r="AA14" s="10" t="str">
        <f>VLOOKUP(Table3[[#This Row],[Marker Name / Summenformel]],PhysChem_Table[],14,FALSE)</f>
        <v>n.a.</v>
      </c>
      <c r="AB14" s="10" t="str">
        <f>VLOOKUP(Table3[[#This Row],[Marker Name / Summenformel]],PhysChem_Table[],15,FALSE)</f>
        <v>n.a.</v>
      </c>
      <c r="AC14" s="10" t="str">
        <f>VLOOKUP(Table3[[#This Row],[Marker Name / Summenformel]],PhysChem_Table[],16,FALSE)</f>
        <v>n.a.</v>
      </c>
      <c r="AD14" s="10" t="str">
        <f>VLOOKUP(Table3[[#This Row],[Marker Name / Summenformel]],PhysChem_Table[],17,FALSE)</f>
        <v>n.a.</v>
      </c>
      <c r="AE14" s="10" t="str">
        <f>VLOOKUP(Table3[[#This Row],[Marker Name / Summenformel]],PhysChem_Table[],18,FALSE)</f>
        <v>n.a.</v>
      </c>
      <c r="AF14" s="10" t="str">
        <f>VLOOKUP(Table3[[#This Row],[Marker Name / Summenformel]],PhysChem_Table[],19,FALSE)</f>
        <v>n.a.</v>
      </c>
      <c r="AG14" s="10" t="str">
        <f>VLOOKUP(Table3[[#This Row],[Marker Name / Summenformel]],PhysChem_Table[],20,FALSE)</f>
        <v>n.a.</v>
      </c>
      <c r="AH14" s="10" t="str">
        <f>VLOOKUP(Table3[[#This Row],[Marker Name / Summenformel]],PhysChem_Table[],21,FALSE)</f>
        <v>n.a.</v>
      </c>
      <c r="AI14" s="10" t="str">
        <f>VLOOKUP(Table3[[#This Row],[Marker Name / Summenformel]],PhysChem_Table[],22,FALSE)</f>
        <v>n.a.</v>
      </c>
      <c r="AJ14" s="10" t="str">
        <f>VLOOKUP(Table3[[#This Row],[Marker Name / Summenformel]],PhysChem_Table[],23,FALSE)</f>
        <v>n.a.</v>
      </c>
      <c r="AK14" s="10" t="str">
        <f>VLOOKUP(Table3[[#This Row],[Marker Name / Summenformel]],PhysChem_Table[],24,FALSE)</f>
        <v>n.a.</v>
      </c>
      <c r="AL14" s="10" t="str">
        <f>VLOOKUP(Table3[[#This Row],[Marker Name / Summenformel]],PhysChem_Table[],25,FALSE)</f>
        <v>n.a.</v>
      </c>
      <c r="AM14" s="10" t="str">
        <f>VLOOKUP(Table3[[#This Row],[Marker Name / Summenformel]],PhysChem_Table[],26,FALSE)</f>
        <v>n.a.</v>
      </c>
      <c r="AN14" s="10" t="str">
        <f>VLOOKUP(Table3[[#This Row],[Marker Name / Summenformel]],PhysChem_Table[],27,FALSE)</f>
        <v>n.a.</v>
      </c>
      <c r="AO14" s="10" t="str">
        <f>VLOOKUP(Table3[[#This Row],[Marker Name / Summenformel]],PhysChem_Table[],28,FALSE)</f>
        <v>n.a.</v>
      </c>
      <c r="AP14" s="10" t="str">
        <f>VLOOKUP(Table3[[#This Row],[Marker Name / Summenformel]],PhysChem_Table[],29,FALSE)</f>
        <v>n.a.</v>
      </c>
      <c r="AQ14" s="10" t="str">
        <f>VLOOKUP(Table3[[#This Row],[Marker Name / Summenformel]],PhysChem_Table[],30,FALSE)</f>
        <v>n.a.</v>
      </c>
      <c r="AR14" s="10" t="str">
        <f>VLOOKUP(Table3[[#This Row],[Marker Name / Summenformel]],PhysChem_Table[],31,FALSE)</f>
        <v>n.a.</v>
      </c>
      <c r="AS14" s="10" t="str">
        <f>VLOOKUP(Table3[[#This Row],[Marker Name / Summenformel]],PhysChem_Table[],32,FALSE)</f>
        <v>n.a.</v>
      </c>
      <c r="AT14" s="10" t="str">
        <f>VLOOKUP(Table3[[#This Row],[Marker Name / Summenformel]],PhysChem_Table[],33,FALSE)</f>
        <v>n.a.</v>
      </c>
      <c r="AU14" s="10" t="str">
        <f>VLOOKUP(Table3[[#This Row],[Marker Name / Summenformel]],PhysChem_Table[],34,FALSE)</f>
        <v>n.a.</v>
      </c>
      <c r="AV14" s="10">
        <f>VLOOKUP(Table3[[#This Row],[Marker Name / Summenformel]],PhysChem_Table[],35,FALSE)</f>
        <v>0</v>
      </c>
    </row>
    <row r="15" spans="1:48" x14ac:dyDescent="0.3">
      <c r="A15" s="10" t="s">
        <v>20</v>
      </c>
      <c r="B15" s="10" t="str">
        <f>VLOOKUP(Table3[[#This Row],[Marker Name / Summenformel]],BaseInfos_Table[],2,FALSE)</f>
        <v>Perylene diimide</v>
      </c>
      <c r="C15" s="10" t="str">
        <f>VLOOKUP(Table3[[#This Row],[Marker Name / Summenformel]],BaseInfos_Table[],3,FALSE)</f>
        <v>n.a.</v>
      </c>
      <c r="D15" s="10" t="str">
        <f>VLOOKUP(Table3[[#This Row],[Marker Name / Summenformel]],BaseInfos_Table[],4,FALSE)</f>
        <v>n.a.</v>
      </c>
      <c r="E15" s="10" t="str">
        <f>VLOOKUP(Table3[[#This Row],[Marker Name / Summenformel]],BaseInfos_Table[],5,FALSE)</f>
        <v>Langhals et al. 2014 / Green and sustainable chemistry</v>
      </c>
      <c r="F15" s="10" t="str">
        <f>VLOOKUP(Table3[[#This Row],[Marker Name / Summenformel]],BaseInfos_Table[],6,FALSE)</f>
        <v>IR</v>
      </c>
      <c r="G15" s="10" t="str">
        <f>VLOOKUP(Table3[[#This Row],[Marker Name / Summenformel]],BaseInfos_Table[],7,FALSE)</f>
        <v xml:space="preserve">N </v>
      </c>
      <c r="H15" s="10" t="str">
        <f>VLOOKUP(Table3[[#This Row],[Marker Name / Summenformel]],BaseInfos_Table[],8,FALSE)</f>
        <v>n.a.</v>
      </c>
      <c r="I15" s="10" t="str">
        <f>VLOOKUP(Table3[[#This Row],[Marker Name / Summenformel]],BaseInfos_Table[],9,FALSE)</f>
        <v>n.a.</v>
      </c>
      <c r="J15" s="10" t="str">
        <f>VLOOKUP(Table3[[#This Row],[Marker Name / Summenformel]],BaseInfos_Table[],10,FALSE)</f>
        <v>n.a.</v>
      </c>
      <c r="K15" s="10">
        <f>VLOOKUP(Table3[[#This Row],[Marker Name / Summenformel]],BaseInfos_Table[],11,FALSE)</f>
        <v>0</v>
      </c>
      <c r="L15" s="10" t="str">
        <f>VLOOKUP(Table3[[#This Row],[Marker Name / Summenformel]],GHS_Table[#All],3,FALSE)</f>
        <v>n.a.</v>
      </c>
      <c r="M15" s="10" t="str">
        <f>VLOOKUP(Table3[[#This Row],[Marker Name / Summenformel]],GHS_Table[#All],4,FALSE)</f>
        <v>n.a.</v>
      </c>
      <c r="N15" s="10" t="str">
        <f>VLOOKUP(Table3[[#This Row],[Marker Name / Summenformel]],GHS_Table[#All],5,FALSE)</f>
        <v>n.a.</v>
      </c>
      <c r="O15" s="10" t="str">
        <f>VLOOKUP(Table3[[#This Row],[Marker Name / Summenformel]],GHS_Table[#All],6,FALSE)</f>
        <v>n.a.</v>
      </c>
      <c r="P15" s="10" t="str">
        <f>VLOOKUP(Table3[[#This Row],[Marker Name / Summenformel]],PhysChem_Table[],3,FALSE)</f>
        <v>n.a.</v>
      </c>
      <c r="Q15" s="10" t="str">
        <f>VLOOKUP(Table3[[#This Row],[Marker Name / Summenformel]],PhysChem_Table[],4,FALSE)</f>
        <v>n.a.</v>
      </c>
      <c r="R15" s="10" t="str">
        <f>VLOOKUP(Table3[[#This Row],[Marker Name / Summenformel]],PhysChem_Table[],5,FALSE)</f>
        <v>n.a.</v>
      </c>
      <c r="S15" s="10" t="str">
        <f>VLOOKUP(Table3[[#This Row],[Marker Name / Summenformel]],PhysChem_Table[],6,FALSE)</f>
        <v>n.a.</v>
      </c>
      <c r="T15" s="10" t="str">
        <f>VLOOKUP(Table3[[#This Row],[Marker Name / Summenformel]],PhysChem_Table[],7,FALSE)</f>
        <v>n.a.</v>
      </c>
      <c r="U15" s="10" t="str">
        <f>VLOOKUP(Table3[[#This Row],[Marker Name / Summenformel]],PhysChem_Table[],8,FALSE)</f>
        <v>n.a.</v>
      </c>
      <c r="V15" s="10" t="str">
        <f>VLOOKUP(Table3[[#This Row],[Marker Name / Summenformel]],PhysChem_Table[],9,FALSE)</f>
        <v>n.a.</v>
      </c>
      <c r="W15" s="10" t="str">
        <f>VLOOKUP(Table3[[#This Row],[Marker Name / Summenformel]],PhysChem_Table[],10,FALSE)</f>
        <v>n.a.</v>
      </c>
      <c r="X15" s="10" t="str">
        <f>VLOOKUP(Table3[[#This Row],[Marker Name / Summenformel]],PhysChem_Table[],11,FALSE)</f>
        <v>n.a.</v>
      </c>
      <c r="Y15" s="10" t="str">
        <f>VLOOKUP(Table3[[#This Row],[Marker Name / Summenformel]],PhysChem_Table[],12,FALSE)</f>
        <v>n.a.</v>
      </c>
      <c r="Z15" s="10" t="str">
        <f>VLOOKUP(Table3[[#This Row],[Marker Name / Summenformel]],PhysChem_Table[],13,FALSE)</f>
        <v>n.a.</v>
      </c>
      <c r="AA15" s="10" t="str">
        <f>VLOOKUP(Table3[[#This Row],[Marker Name / Summenformel]],PhysChem_Table[],14,FALSE)</f>
        <v>n.a.</v>
      </c>
      <c r="AB15" s="10" t="str">
        <f>VLOOKUP(Table3[[#This Row],[Marker Name / Summenformel]],PhysChem_Table[],15,FALSE)</f>
        <v>n.a.</v>
      </c>
      <c r="AC15" s="10" t="str">
        <f>VLOOKUP(Table3[[#This Row],[Marker Name / Summenformel]],PhysChem_Table[],16,FALSE)</f>
        <v>n.a.</v>
      </c>
      <c r="AD15" s="10" t="str">
        <f>VLOOKUP(Table3[[#This Row],[Marker Name / Summenformel]],PhysChem_Table[],17,FALSE)</f>
        <v>n.a.</v>
      </c>
      <c r="AE15" s="10" t="str">
        <f>VLOOKUP(Table3[[#This Row],[Marker Name / Summenformel]],PhysChem_Table[],18,FALSE)</f>
        <v>n.a.</v>
      </c>
      <c r="AF15" s="10" t="str">
        <f>VLOOKUP(Table3[[#This Row],[Marker Name / Summenformel]],PhysChem_Table[],19,FALSE)</f>
        <v>n.a.</v>
      </c>
      <c r="AG15" s="10" t="str">
        <f>VLOOKUP(Table3[[#This Row],[Marker Name / Summenformel]],PhysChem_Table[],20,FALSE)</f>
        <v>n.a.</v>
      </c>
      <c r="AH15" s="10" t="str">
        <f>VLOOKUP(Table3[[#This Row],[Marker Name / Summenformel]],PhysChem_Table[],21,FALSE)</f>
        <v>n.a.</v>
      </c>
      <c r="AI15" s="10" t="str">
        <f>VLOOKUP(Table3[[#This Row],[Marker Name / Summenformel]],PhysChem_Table[],22,FALSE)</f>
        <v>n.a.</v>
      </c>
      <c r="AJ15" s="10" t="str">
        <f>VLOOKUP(Table3[[#This Row],[Marker Name / Summenformel]],PhysChem_Table[],23,FALSE)</f>
        <v>n.a.</v>
      </c>
      <c r="AK15" s="10" t="str">
        <f>VLOOKUP(Table3[[#This Row],[Marker Name / Summenformel]],PhysChem_Table[],24,FALSE)</f>
        <v>n.a.</v>
      </c>
      <c r="AL15" s="10" t="str">
        <f>VLOOKUP(Table3[[#This Row],[Marker Name / Summenformel]],PhysChem_Table[],25,FALSE)</f>
        <v>n.a.</v>
      </c>
      <c r="AM15" s="10" t="str">
        <f>VLOOKUP(Table3[[#This Row],[Marker Name / Summenformel]],PhysChem_Table[],26,FALSE)</f>
        <v>n.a.</v>
      </c>
      <c r="AN15" s="10" t="str">
        <f>VLOOKUP(Table3[[#This Row],[Marker Name / Summenformel]],PhysChem_Table[],27,FALSE)</f>
        <v>n.a.</v>
      </c>
      <c r="AO15" s="10" t="str">
        <f>VLOOKUP(Table3[[#This Row],[Marker Name / Summenformel]],PhysChem_Table[],28,FALSE)</f>
        <v>n.a.</v>
      </c>
      <c r="AP15" s="10" t="str">
        <f>VLOOKUP(Table3[[#This Row],[Marker Name / Summenformel]],PhysChem_Table[],29,FALSE)</f>
        <v>n.a.</v>
      </c>
      <c r="AQ15" s="10" t="str">
        <f>VLOOKUP(Table3[[#This Row],[Marker Name / Summenformel]],PhysChem_Table[],30,FALSE)</f>
        <v>n.a.</v>
      </c>
      <c r="AR15" s="10" t="str">
        <f>VLOOKUP(Table3[[#This Row],[Marker Name / Summenformel]],PhysChem_Table[],31,FALSE)</f>
        <v>n.a.</v>
      </c>
      <c r="AS15" s="10" t="str">
        <f>VLOOKUP(Table3[[#This Row],[Marker Name / Summenformel]],PhysChem_Table[],32,FALSE)</f>
        <v>n.a.</v>
      </c>
      <c r="AT15" s="10" t="str">
        <f>VLOOKUP(Table3[[#This Row],[Marker Name / Summenformel]],PhysChem_Table[],33,FALSE)</f>
        <v>n.a.</v>
      </c>
      <c r="AU15" s="10" t="str">
        <f>VLOOKUP(Table3[[#This Row],[Marker Name / Summenformel]],PhysChem_Table[],34,FALSE)</f>
        <v>n.a.</v>
      </c>
      <c r="AV15" s="10">
        <f>VLOOKUP(Table3[[#This Row],[Marker Name / Summenformel]],PhysChem_Table[],35,FALSE)</f>
        <v>0</v>
      </c>
    </row>
    <row r="16" spans="1:48" x14ac:dyDescent="0.3">
      <c r="A16" s="10" t="s">
        <v>49</v>
      </c>
      <c r="B16" s="10" t="str">
        <f>VLOOKUP(Table3[[#This Row],[Marker Name / Summenformel]],BaseInfos_Table[],2,FALSE)</f>
        <v>Perylene diimide</v>
      </c>
      <c r="C16" s="10" t="str">
        <f>VLOOKUP(Table3[[#This Row],[Marker Name / Summenformel]],BaseInfos_Table[],3,FALSE)</f>
        <v>n.a.</v>
      </c>
      <c r="D16" s="10" t="str">
        <f>VLOOKUP(Table3[[#This Row],[Marker Name / Summenformel]],BaseInfos_Table[],4,FALSE)</f>
        <v>n.a.</v>
      </c>
      <c r="E16" s="10" t="str">
        <f>VLOOKUP(Table3[[#This Row],[Marker Name / Summenformel]],BaseInfos_Table[],5,FALSE)</f>
        <v>Ribeiro et al. 2013/ RSC Advances</v>
      </c>
      <c r="F16" s="10" t="str">
        <f>VLOOKUP(Table3[[#This Row],[Marker Name / Summenformel]],BaseInfos_Table[],6,FALSE)</f>
        <v>IR</v>
      </c>
      <c r="G16" s="10" t="str">
        <f>VLOOKUP(Table3[[#This Row],[Marker Name / Summenformel]],BaseInfos_Table[],7,FALSE)</f>
        <v>N</v>
      </c>
      <c r="H16" s="10" t="str">
        <f>VLOOKUP(Table3[[#This Row],[Marker Name / Summenformel]],BaseInfos_Table[],8,FALSE)</f>
        <v>n.a.</v>
      </c>
      <c r="I16" s="10" t="str">
        <f>VLOOKUP(Table3[[#This Row],[Marker Name / Summenformel]],BaseInfos_Table[],9,FALSE)</f>
        <v>n.a.</v>
      </c>
      <c r="J16" s="10" t="str">
        <f>VLOOKUP(Table3[[#This Row],[Marker Name / Summenformel]],BaseInfos_Table[],10,FALSE)</f>
        <v>n.a.</v>
      </c>
      <c r="K16" s="10">
        <f>VLOOKUP(Table3[[#This Row],[Marker Name / Summenformel]],BaseInfos_Table[],11,FALSE)</f>
        <v>0</v>
      </c>
      <c r="L16" s="10" t="str">
        <f>VLOOKUP(Table3[[#This Row],[Marker Name / Summenformel]],GHS_Table[#All],3,FALSE)</f>
        <v>n.a.</v>
      </c>
      <c r="M16" s="10" t="str">
        <f>VLOOKUP(Table3[[#This Row],[Marker Name / Summenformel]],GHS_Table[#All],4,FALSE)</f>
        <v>n.a.</v>
      </c>
      <c r="N16" s="10" t="str">
        <f>VLOOKUP(Table3[[#This Row],[Marker Name / Summenformel]],GHS_Table[#All],5,FALSE)</f>
        <v>n.a.</v>
      </c>
      <c r="O16" s="10" t="str">
        <f>VLOOKUP(Table3[[#This Row],[Marker Name / Summenformel]],GHS_Table[#All],6,FALSE)</f>
        <v>n.a.</v>
      </c>
      <c r="P16" s="10" t="str">
        <f>VLOOKUP(Table3[[#This Row],[Marker Name / Summenformel]],PhysChem_Table[],3,FALSE)</f>
        <v>n.a.</v>
      </c>
      <c r="Q16" s="10" t="str">
        <f>VLOOKUP(Table3[[#This Row],[Marker Name / Summenformel]],PhysChem_Table[],4,FALSE)</f>
        <v>n.a.</v>
      </c>
      <c r="R16" s="10" t="str">
        <f>VLOOKUP(Table3[[#This Row],[Marker Name / Summenformel]],PhysChem_Table[],5,FALSE)</f>
        <v>n.a.</v>
      </c>
      <c r="S16" s="10" t="str">
        <f>VLOOKUP(Table3[[#This Row],[Marker Name / Summenformel]],PhysChem_Table[],6,FALSE)</f>
        <v>n.a.</v>
      </c>
      <c r="T16" s="10" t="str">
        <f>VLOOKUP(Table3[[#This Row],[Marker Name / Summenformel]],PhysChem_Table[],7,FALSE)</f>
        <v>n.a.</v>
      </c>
      <c r="U16" s="10" t="str">
        <f>VLOOKUP(Table3[[#This Row],[Marker Name / Summenformel]],PhysChem_Table[],8,FALSE)</f>
        <v>n.a.</v>
      </c>
      <c r="V16" s="10" t="str">
        <f>VLOOKUP(Table3[[#This Row],[Marker Name / Summenformel]],PhysChem_Table[],9,FALSE)</f>
        <v>n.a.</v>
      </c>
      <c r="W16" s="10" t="str">
        <f>VLOOKUP(Table3[[#This Row],[Marker Name / Summenformel]],PhysChem_Table[],10,FALSE)</f>
        <v>n.a.</v>
      </c>
      <c r="X16" s="10" t="str">
        <f>VLOOKUP(Table3[[#This Row],[Marker Name / Summenformel]],PhysChem_Table[],11,FALSE)</f>
        <v>n.a.</v>
      </c>
      <c r="Y16" s="10" t="str">
        <f>VLOOKUP(Table3[[#This Row],[Marker Name / Summenformel]],PhysChem_Table[],12,FALSE)</f>
        <v>n.a.</v>
      </c>
      <c r="Z16" s="10" t="str">
        <f>VLOOKUP(Table3[[#This Row],[Marker Name / Summenformel]],PhysChem_Table[],13,FALSE)</f>
        <v>n.a.</v>
      </c>
      <c r="AA16" s="10" t="str">
        <f>VLOOKUP(Table3[[#This Row],[Marker Name / Summenformel]],PhysChem_Table[],14,FALSE)</f>
        <v>n.a.</v>
      </c>
      <c r="AB16" s="10" t="str">
        <f>VLOOKUP(Table3[[#This Row],[Marker Name / Summenformel]],PhysChem_Table[],15,FALSE)</f>
        <v>n.a.</v>
      </c>
      <c r="AC16" s="10" t="str">
        <f>VLOOKUP(Table3[[#This Row],[Marker Name / Summenformel]],PhysChem_Table[],16,FALSE)</f>
        <v>n.a.</v>
      </c>
      <c r="AD16" s="10" t="str">
        <f>VLOOKUP(Table3[[#This Row],[Marker Name / Summenformel]],PhysChem_Table[],17,FALSE)</f>
        <v>n.a.</v>
      </c>
      <c r="AE16" s="10" t="str">
        <f>VLOOKUP(Table3[[#This Row],[Marker Name / Summenformel]],PhysChem_Table[],18,FALSE)</f>
        <v>n.a.</v>
      </c>
      <c r="AF16" s="10" t="str">
        <f>VLOOKUP(Table3[[#This Row],[Marker Name / Summenformel]],PhysChem_Table[],19,FALSE)</f>
        <v>n.a.</v>
      </c>
      <c r="AG16" s="10" t="str">
        <f>VLOOKUP(Table3[[#This Row],[Marker Name / Summenformel]],PhysChem_Table[],20,FALSE)</f>
        <v>n.a.</v>
      </c>
      <c r="AH16" s="10" t="str">
        <f>VLOOKUP(Table3[[#This Row],[Marker Name / Summenformel]],PhysChem_Table[],21,FALSE)</f>
        <v>n.a.</v>
      </c>
      <c r="AI16" s="10" t="str">
        <f>VLOOKUP(Table3[[#This Row],[Marker Name / Summenformel]],PhysChem_Table[],22,FALSE)</f>
        <v>n.a.</v>
      </c>
      <c r="AJ16" s="10" t="str">
        <f>VLOOKUP(Table3[[#This Row],[Marker Name / Summenformel]],PhysChem_Table[],23,FALSE)</f>
        <v>n.a.</v>
      </c>
      <c r="AK16" s="10" t="str">
        <f>VLOOKUP(Table3[[#This Row],[Marker Name / Summenformel]],PhysChem_Table[],24,FALSE)</f>
        <v>n.a.</v>
      </c>
      <c r="AL16" s="10" t="str">
        <f>VLOOKUP(Table3[[#This Row],[Marker Name / Summenformel]],PhysChem_Table[],25,FALSE)</f>
        <v>n.a.</v>
      </c>
      <c r="AM16" s="10" t="str">
        <f>VLOOKUP(Table3[[#This Row],[Marker Name / Summenformel]],PhysChem_Table[],26,FALSE)</f>
        <v>n.a.</v>
      </c>
      <c r="AN16" s="10" t="str">
        <f>VLOOKUP(Table3[[#This Row],[Marker Name / Summenformel]],PhysChem_Table[],27,FALSE)</f>
        <v>n.a.</v>
      </c>
      <c r="AO16" s="10" t="str">
        <f>VLOOKUP(Table3[[#This Row],[Marker Name / Summenformel]],PhysChem_Table[],28,FALSE)</f>
        <v>n.a.</v>
      </c>
      <c r="AP16" s="10" t="str">
        <f>VLOOKUP(Table3[[#This Row],[Marker Name / Summenformel]],PhysChem_Table[],29,FALSE)</f>
        <v>n.a.</v>
      </c>
      <c r="AQ16" s="10" t="str">
        <f>VLOOKUP(Table3[[#This Row],[Marker Name / Summenformel]],PhysChem_Table[],30,FALSE)</f>
        <v>n.a.</v>
      </c>
      <c r="AR16" s="10" t="str">
        <f>VLOOKUP(Table3[[#This Row],[Marker Name / Summenformel]],PhysChem_Table[],31,FALSE)</f>
        <v>n.a.</v>
      </c>
      <c r="AS16" s="10" t="str">
        <f>VLOOKUP(Table3[[#This Row],[Marker Name / Summenformel]],PhysChem_Table[],32,FALSE)</f>
        <v>n.a.</v>
      </c>
      <c r="AT16" s="10" t="str">
        <f>VLOOKUP(Table3[[#This Row],[Marker Name / Summenformel]],PhysChem_Table[],33,FALSE)</f>
        <v>n.a.</v>
      </c>
      <c r="AU16" s="10" t="str">
        <f>VLOOKUP(Table3[[#This Row],[Marker Name / Summenformel]],PhysChem_Table[],34,FALSE)</f>
        <v>n.a.</v>
      </c>
      <c r="AV16" s="10">
        <f>VLOOKUP(Table3[[#This Row],[Marker Name / Summenformel]],PhysChem_Table[],35,FALSE)</f>
        <v>0</v>
      </c>
    </row>
    <row r="17" spans="1:48" ht="14.45" customHeight="1" x14ac:dyDescent="0.3">
      <c r="A17" s="10" t="s">
        <v>56</v>
      </c>
      <c r="B17" s="38" t="str">
        <f>VLOOKUP(Table3[[#This Row],[Marker Name / Summenformel]],BaseInfos_Table[],2,FALSE)</f>
        <v>Quinacridone pigment</v>
      </c>
      <c r="C17" s="38" t="str">
        <f>VLOOKUP(Table3[[#This Row],[Marker Name / Summenformel]],BaseInfos_Table[],3,FALSE)</f>
        <v>1047-16-1</v>
      </c>
      <c r="D17" s="38" t="str">
        <f>VLOOKUP(Table3[[#This Row],[Marker Name / Summenformel]],BaseInfos_Table[],4,FALSE)</f>
        <v>213-879-2</v>
      </c>
      <c r="E17" s="38" t="str">
        <f>VLOOKUP(Table3[[#This Row],[Marker Name / Summenformel]],BaseInfos_Table[],5,FALSE)</f>
        <v>Faulkner et al., 2009, Chapter 18/ Wiley VCH Verlag</v>
      </c>
      <c r="F17" s="38" t="str">
        <f>VLOOKUP(Table3[[#This Row],[Marker Name / Summenformel]],BaseInfos_Table[],6,FALSE)</f>
        <v>UV-Vis</v>
      </c>
      <c r="G17" s="38" t="str">
        <f>VLOOKUP(Table3[[#This Row],[Marker Name / Summenformel]],BaseInfos_Table[],7,FALSE)</f>
        <v>Y</v>
      </c>
      <c r="H17" s="38">
        <f>VLOOKUP(Table3[[#This Row],[Marker Name / Summenformel]],BaseInfos_Table[],8,FALSE)</f>
        <v>100</v>
      </c>
      <c r="I17" s="38" t="str">
        <f>VLOOKUP(Table3[[#This Row],[Marker Name / Summenformel]],BaseInfos_Table[],9,FALSE)</f>
        <v>https://echa.europa.eu/de/substance-information/-/substanceinfo/100.012.618</v>
      </c>
      <c r="J17" s="38" t="str">
        <f>VLOOKUP(Table3[[#This Row],[Marker Name / Summenformel]],BaseInfos_Table[],10,FALSE)</f>
        <v>https://www.sigmaaldrich.com/AT/en/product/bldpharmatechltd/bl3h160b9855?context=bbe</v>
      </c>
      <c r="K17" s="38">
        <f>VLOOKUP(Table3[[#This Row],[Marker Name / Summenformel]],BaseInfos_Table[],11,FALSE)</f>
        <v>0</v>
      </c>
      <c r="L17" s="10" t="str">
        <f>VLOOKUP(Table3[[#This Row],[Marker Name / Summenformel]],GHS_Table[#All],3,FALSE)</f>
        <v>REACH</v>
      </c>
      <c r="M17" s="10">
        <f>VLOOKUP(Table3[[#This Row],[Marker Name / Summenformel]],GHS_Table[#All],4,FALSE)</f>
        <v>0</v>
      </c>
      <c r="N17" s="10">
        <f>VLOOKUP(Table3[[#This Row],[Marker Name / Summenformel]],GHS_Table[#All],5,FALSE)</f>
        <v>3</v>
      </c>
      <c r="O17" s="10" t="str">
        <f>VLOOKUP(Table3[[#This Row],[Marker Name / Summenformel]],GHS_Table[#All],6,FALSE)</f>
        <v>n.a.</v>
      </c>
      <c r="P17" s="38" t="str">
        <f>VLOOKUP(Table3[[#This Row],[Marker Name / Summenformel]],PhysChem_Table[],3,FALSE)</f>
        <v>solid: nanoform</v>
      </c>
      <c r="Q17" s="38" t="str">
        <f>VLOOKUP(Table3[[#This Row],[Marker Name / Summenformel]],PhysChem_Table[],4,FALSE)</f>
        <v>violet</v>
      </c>
      <c r="R17" s="38">
        <f>VLOOKUP(Table3[[#This Row],[Marker Name / Summenformel]],PhysChem_Table[],5,FALSE)</f>
        <v>500</v>
      </c>
      <c r="S17" s="38" t="str">
        <f>VLOOKUP(Table3[[#This Row],[Marker Name / Summenformel]],PhysChem_Table[],6,FALSE)</f>
        <v>n.s.</v>
      </c>
      <c r="T17" s="38" t="str">
        <f>VLOOKUP(Table3[[#This Row],[Marker Name / Summenformel]],PhysChem_Table[],7,FALSE)</f>
        <v>n.r.</v>
      </c>
      <c r="U17" s="38" t="str">
        <f>VLOOKUP(Table3[[#This Row],[Marker Name / Summenformel]],PhysChem_Table[],8,FALSE)</f>
        <v>n.r.</v>
      </c>
      <c r="V17" s="38">
        <f>VLOOKUP(Table3[[#This Row],[Marker Name / Summenformel]],PhysChem_Table[],9,FALSE)</f>
        <v>1.498</v>
      </c>
      <c r="W17" s="38">
        <f>VLOOKUP(Table3[[#This Row],[Marker Name / Summenformel]],PhysChem_Table[],10,FALSE)</f>
        <v>20</v>
      </c>
      <c r="X17" s="38" t="str">
        <f>VLOOKUP(Table3[[#This Row],[Marker Name / Summenformel]],PhysChem_Table[],11,FALSE)</f>
        <v>1-100 um</v>
      </c>
      <c r="Y17" s="38" t="str">
        <f>VLOOKUP(Table3[[#This Row],[Marker Name / Summenformel]],PhysChem_Table[],12,FALSE)</f>
        <v>n.r.</v>
      </c>
      <c r="Z17" s="38" t="str">
        <f>VLOOKUP(Table3[[#This Row],[Marker Name / Summenformel]],PhysChem_Table[],13,FALSE)</f>
        <v>n.r.</v>
      </c>
      <c r="AA17" s="38">
        <f>VLOOKUP(Table3[[#This Row],[Marker Name / Summenformel]],PhysChem_Table[],14,FALSE)</f>
        <v>2.2000000000000002</v>
      </c>
      <c r="AB17" s="38">
        <f>VLOOKUP(Table3[[#This Row],[Marker Name / Summenformel]],PhysChem_Table[],15,FALSE)</f>
        <v>24</v>
      </c>
      <c r="AC17" s="38">
        <f>VLOOKUP(Table3[[#This Row],[Marker Name / Summenformel]],PhysChem_Table[],16,FALSE)</f>
        <v>1E-4</v>
      </c>
      <c r="AD17" s="38">
        <f>VLOOKUP(Table3[[#This Row],[Marker Name / Summenformel]],PhysChem_Table[],17,FALSE)</f>
        <v>24</v>
      </c>
      <c r="AE17" s="38" t="str">
        <f>VLOOKUP(Table3[[#This Row],[Marker Name / Summenformel]],PhysChem_Table[],18,FALSE)</f>
        <v>n.a.</v>
      </c>
      <c r="AF17" s="38" t="str">
        <f>VLOOKUP(Table3[[#This Row],[Marker Name / Summenformel]],PhysChem_Table[],19,FALSE)</f>
        <v>n.a.</v>
      </c>
      <c r="AG17" s="38" t="str">
        <f>VLOOKUP(Table3[[#This Row],[Marker Name / Summenformel]],PhysChem_Table[],20,FALSE)</f>
        <v>n.a.</v>
      </c>
      <c r="AH17" s="38" t="str">
        <f>VLOOKUP(Table3[[#This Row],[Marker Name / Summenformel]],PhysChem_Table[],21,FALSE)</f>
        <v>n.r.</v>
      </c>
      <c r="AI17" s="38" t="str">
        <f>VLOOKUP(Table3[[#This Row],[Marker Name / Summenformel]],PhysChem_Table[],22,FALSE)</f>
        <v>n.r.</v>
      </c>
      <c r="AJ17" s="38" t="str">
        <f>VLOOKUP(Table3[[#This Row],[Marker Name / Summenformel]],PhysChem_Table[],23,FALSE)</f>
        <v>n.r.</v>
      </c>
      <c r="AK17" s="38" t="str">
        <f>VLOOKUP(Table3[[#This Row],[Marker Name / Summenformel]],PhysChem_Table[],24,FALSE)</f>
        <v>N</v>
      </c>
      <c r="AL17" s="38" t="str">
        <f>VLOOKUP(Table3[[#This Row],[Marker Name / Summenformel]],PhysChem_Table[],25,FALSE)</f>
        <v>no flammability</v>
      </c>
      <c r="AM17" s="38" t="str">
        <f>VLOOKUP(Table3[[#This Row],[Marker Name / Summenformel]],PhysChem_Table[],26,FALSE)</f>
        <v>n.r.</v>
      </c>
      <c r="AN17" s="38" t="str">
        <f>VLOOKUP(Table3[[#This Row],[Marker Name / Summenformel]],PhysChem_Table[],27,FALSE)</f>
        <v>n.r.</v>
      </c>
      <c r="AO17" s="38" t="str">
        <f>VLOOKUP(Table3[[#This Row],[Marker Name / Summenformel]],PhysChem_Table[],28,FALSE)</f>
        <v>Y</v>
      </c>
      <c r="AP17" s="38" t="str">
        <f>VLOOKUP(Table3[[#This Row],[Marker Name / Summenformel]],PhysChem_Table[],29,FALSE)</f>
        <v>n.a.</v>
      </c>
      <c r="AQ17" s="38" t="str">
        <f>VLOOKUP(Table3[[#This Row],[Marker Name / Summenformel]],PhysChem_Table[],30,FALSE)</f>
        <v>n.a.</v>
      </c>
      <c r="AR17" s="38" t="str">
        <f>VLOOKUP(Table3[[#This Row],[Marker Name / Summenformel]],PhysChem_Table[],31,FALSE)</f>
        <v>n.a.</v>
      </c>
      <c r="AS17" s="38" t="str">
        <f>VLOOKUP(Table3[[#This Row],[Marker Name / Summenformel]],PhysChem_Table[],32,FALSE)</f>
        <v>n.r.</v>
      </c>
      <c r="AT17" s="38" t="str">
        <f>VLOOKUP(Table3[[#This Row],[Marker Name / Summenformel]],PhysChem_Table[],33,FALSE)</f>
        <v>n.r.</v>
      </c>
      <c r="AU17" s="38" t="str">
        <f>VLOOKUP(Table3[[#This Row],[Marker Name / Summenformel]],PhysChem_Table[],34,FALSE)</f>
        <v>https://echa.europa.eu/de/registration-dossier/-/registered-dossier/14755/1/1</v>
      </c>
      <c r="AV17" s="10">
        <f>VLOOKUP(Table3[[#This Row],[Marker Name / Summenformel]],PhysChem_Table[],35,FALSE)</f>
        <v>0</v>
      </c>
    </row>
    <row r="18" spans="1:48" ht="14.45" customHeight="1" x14ac:dyDescent="0.3">
      <c r="A18" s="10" t="s">
        <v>54</v>
      </c>
      <c r="B18" s="38" t="str">
        <f>VLOOKUP(Table3[[#This Row],[Marker Name / Summenformel]],BaseInfos_Table[],2,FALSE)</f>
        <v>perylene dye</v>
      </c>
      <c r="C18" s="38" t="str">
        <f>VLOOKUP(Table3[[#This Row],[Marker Name / Summenformel]],BaseInfos_Table[],3,FALSE)</f>
        <v>128-69-8</v>
      </c>
      <c r="D18" s="38" t="str">
        <f>VLOOKUP(Table3[[#This Row],[Marker Name / Summenformel]],BaseInfos_Table[],4,FALSE)</f>
        <v>204-905-3</v>
      </c>
      <c r="E18" s="38" t="str">
        <f>VLOOKUP(Table3[[#This Row],[Marker Name / Summenformel]],BaseInfos_Table[],5,FALSE)</f>
        <v>Alibert-Fouet et al., 2007 / Chemistry A european Journal</v>
      </c>
      <c r="F18" s="38" t="str">
        <f>VLOOKUP(Table3[[#This Row],[Marker Name / Summenformel]],BaseInfos_Table[],6,FALSE)</f>
        <v>IR</v>
      </c>
      <c r="G18" s="38" t="str">
        <f>VLOOKUP(Table3[[#This Row],[Marker Name / Summenformel]],BaseInfos_Table[],7,FALSE)</f>
        <v>Y</v>
      </c>
      <c r="H18" s="38">
        <f>VLOOKUP(Table3[[#This Row],[Marker Name / Summenformel]],BaseInfos_Table[],8,FALSE)</f>
        <v>1</v>
      </c>
      <c r="I18" s="38" t="str">
        <f>VLOOKUP(Table3[[#This Row],[Marker Name / Summenformel]],BaseInfos_Table[],9,FALSE)</f>
        <v>https://echa.europa.eu/de/substance-information/-/substanceinfo/100.004.461</v>
      </c>
      <c r="J18" s="38" t="str">
        <f>VLOOKUP(Table3[[#This Row],[Marker Name / Summenformel]],BaseInfos_Table[],10,FALSE)</f>
        <v>https://www.sigmaaldrich.com/AT/en/product/aldrich/p11255</v>
      </c>
      <c r="K18" s="38">
        <f>VLOOKUP(Table3[[#This Row],[Marker Name / Summenformel]],BaseInfos_Table[],11,FALSE)</f>
        <v>0</v>
      </c>
      <c r="L18" s="10" t="str">
        <f>VLOOKUP(Table3[[#This Row],[Marker Name / Summenformel]],GHS_Table[#All],3,FALSE)</f>
        <v>REACH</v>
      </c>
      <c r="M18" s="10">
        <f>VLOOKUP(Table3[[#This Row],[Marker Name / Summenformel]],GHS_Table[#All],4,FALSE)</f>
        <v>0</v>
      </c>
      <c r="N18" s="10">
        <f>VLOOKUP(Table3[[#This Row],[Marker Name / Summenformel]],GHS_Table[#All],5,FALSE)</f>
        <v>3</v>
      </c>
      <c r="O18" s="10">
        <f>VLOOKUP(Table3[[#This Row],[Marker Name / Summenformel]],GHS_Table[#All],6,FALSE)</f>
        <v>0</v>
      </c>
      <c r="P18" s="38" t="str">
        <f>VLOOKUP(Table3[[#This Row],[Marker Name / Summenformel]],PhysChem_Table[],3,FALSE)</f>
        <v>solid: particulate/powder</v>
      </c>
      <c r="Q18" s="38" t="str">
        <f>VLOOKUP(Table3[[#This Row],[Marker Name / Summenformel]],PhysChem_Table[],4,FALSE)</f>
        <v>red</v>
      </c>
      <c r="R18" s="38">
        <f>VLOOKUP(Table3[[#This Row],[Marker Name / Summenformel]],PhysChem_Table[],5,FALSE)</f>
        <v>500</v>
      </c>
      <c r="S18" s="38" t="str">
        <f>VLOOKUP(Table3[[#This Row],[Marker Name / Summenformel]],PhysChem_Table[],6,FALSE)</f>
        <v>n.s.</v>
      </c>
      <c r="T18" s="38" t="str">
        <f>VLOOKUP(Table3[[#This Row],[Marker Name / Summenformel]],PhysChem_Table[],7,FALSE)</f>
        <v>n.r.</v>
      </c>
      <c r="U18" s="38" t="str">
        <f>VLOOKUP(Table3[[#This Row],[Marker Name / Summenformel]],PhysChem_Table[],8,FALSE)</f>
        <v>n.r.</v>
      </c>
      <c r="V18" s="38">
        <f>VLOOKUP(Table3[[#This Row],[Marker Name / Summenformel]],PhysChem_Table[],9,FALSE)</f>
        <v>1.6839999999999999</v>
      </c>
      <c r="W18" s="38">
        <f>VLOOKUP(Table3[[#This Row],[Marker Name / Summenformel]],PhysChem_Table[],10,FALSE)</f>
        <v>20</v>
      </c>
      <c r="X18" s="38" t="str">
        <f>VLOOKUP(Table3[[#This Row],[Marker Name / Summenformel]],PhysChem_Table[],11,FALSE)</f>
        <v>130-1390 um</v>
      </c>
      <c r="Y18" s="38" t="str">
        <f>VLOOKUP(Table3[[#This Row],[Marker Name / Summenformel]],PhysChem_Table[],12,FALSE)</f>
        <v>n.r.</v>
      </c>
      <c r="Z18" s="38" t="str">
        <f>VLOOKUP(Table3[[#This Row],[Marker Name / Summenformel]],PhysChem_Table[],13,FALSE)</f>
        <v>n.r.</v>
      </c>
      <c r="AA18" s="38">
        <f>VLOOKUP(Table3[[#This Row],[Marker Name / Summenformel]],PhysChem_Table[],14,FALSE)</f>
        <v>1.3</v>
      </c>
      <c r="AB18" s="38">
        <f>VLOOKUP(Table3[[#This Row],[Marker Name / Summenformel]],PhysChem_Table[],15,FALSE)</f>
        <v>25</v>
      </c>
      <c r="AC18" s="38">
        <f>VLOOKUP(Table3[[#This Row],[Marker Name / Summenformel]],PhysChem_Table[],16,FALSE)</f>
        <v>5.0000000000000004E-6</v>
      </c>
      <c r="AD18" s="38">
        <f>VLOOKUP(Table3[[#This Row],[Marker Name / Summenformel]],PhysChem_Table[],17,FALSE)</f>
        <v>25</v>
      </c>
      <c r="AE18" s="38" t="str">
        <f>VLOOKUP(Table3[[#This Row],[Marker Name / Summenformel]],PhysChem_Table[],18,FALSE)</f>
        <v>n.a.</v>
      </c>
      <c r="AF18" s="38" t="str">
        <f>VLOOKUP(Table3[[#This Row],[Marker Name / Summenformel]],PhysChem_Table[],19,FALSE)</f>
        <v>n.a.</v>
      </c>
      <c r="AG18" s="38" t="str">
        <f>VLOOKUP(Table3[[#This Row],[Marker Name / Summenformel]],PhysChem_Table[],20,FALSE)</f>
        <v>n.a.</v>
      </c>
      <c r="AH18" s="38" t="str">
        <f>VLOOKUP(Table3[[#This Row],[Marker Name / Summenformel]],PhysChem_Table[],21,FALSE)</f>
        <v>n.r.</v>
      </c>
      <c r="AI18" s="38" t="str">
        <f>VLOOKUP(Table3[[#This Row],[Marker Name / Summenformel]],PhysChem_Table[],22,FALSE)</f>
        <v>n.r.</v>
      </c>
      <c r="AJ18" s="38" t="str">
        <f>VLOOKUP(Table3[[#This Row],[Marker Name / Summenformel]],PhysChem_Table[],23,FALSE)</f>
        <v>n.r.</v>
      </c>
      <c r="AK18" s="38" t="str">
        <f>VLOOKUP(Table3[[#This Row],[Marker Name / Summenformel]],PhysChem_Table[],24,FALSE)</f>
        <v>N</v>
      </c>
      <c r="AL18" s="38" t="str">
        <f>VLOOKUP(Table3[[#This Row],[Marker Name / Summenformel]],PhysChem_Table[],25,FALSE)</f>
        <v>no flammability</v>
      </c>
      <c r="AM18" s="38" t="str">
        <f>VLOOKUP(Table3[[#This Row],[Marker Name / Summenformel]],PhysChem_Table[],26,FALSE)</f>
        <v>non explosive</v>
      </c>
      <c r="AN18" s="38" t="str">
        <f>VLOOKUP(Table3[[#This Row],[Marker Name / Summenformel]],PhysChem_Table[],27,FALSE)</f>
        <v>non oxidising</v>
      </c>
      <c r="AO18" s="38" t="str">
        <f>VLOOKUP(Table3[[#This Row],[Marker Name / Summenformel]],PhysChem_Table[],28,FALSE)</f>
        <v>n.r.</v>
      </c>
      <c r="AP18" s="38" t="str">
        <f>VLOOKUP(Table3[[#This Row],[Marker Name / Summenformel]],PhysChem_Table[],29,FALSE)</f>
        <v>n.a.</v>
      </c>
      <c r="AQ18" s="38" t="str">
        <f>VLOOKUP(Table3[[#This Row],[Marker Name / Summenformel]],PhysChem_Table[],30,FALSE)</f>
        <v>stable at RT</v>
      </c>
      <c r="AR18" s="38" t="str">
        <f>VLOOKUP(Table3[[#This Row],[Marker Name / Summenformel]],PhysChem_Table[],31,FALSE)</f>
        <v>n.a.</v>
      </c>
      <c r="AS18" s="38" t="str">
        <f>VLOOKUP(Table3[[#This Row],[Marker Name / Summenformel]],PhysChem_Table[],32,FALSE)</f>
        <v>n.r.</v>
      </c>
      <c r="AT18" s="38" t="str">
        <f>VLOOKUP(Table3[[#This Row],[Marker Name / Summenformel]],PhysChem_Table[],33,FALSE)</f>
        <v>n.r.</v>
      </c>
      <c r="AU18" s="38" t="str">
        <f>VLOOKUP(Table3[[#This Row],[Marker Name / Summenformel]],PhysChem_Table[],34,FALSE)</f>
        <v>https://echa.europa.eu/de/registration-dossier/-/registered-dossier/11837</v>
      </c>
      <c r="AV18" s="10">
        <f>VLOOKUP(Table3[[#This Row],[Marker Name / Summenformel]],PhysChem_Table[],35,FALSE)</f>
        <v>0</v>
      </c>
    </row>
    <row r="19" spans="1:48" x14ac:dyDescent="0.3">
      <c r="A19" s="10" t="s">
        <v>373</v>
      </c>
      <c r="B19" s="10" t="str">
        <f>VLOOKUP(Table3[[#This Row],[Marker Name / Summenformel]],BaseInfos_Table[],2,FALSE)</f>
        <v>xanthene dye</v>
      </c>
      <c r="C19" s="10" t="str">
        <f>VLOOKUP(Table3[[#This Row],[Marker Name / Summenformel]],BaseInfos_Table[],3,FALSE)</f>
        <v xml:space="preserve">3326-32-7 </v>
      </c>
      <c r="D19" s="10" t="str">
        <f>VLOOKUP(Table3[[#This Row],[Marker Name / Summenformel]],BaseInfos_Table[],4,FALSE)</f>
        <v>222-042-0</v>
      </c>
      <c r="E19" s="10" t="str">
        <f>VLOOKUP(Table3[[#This Row],[Marker Name / Summenformel]],BaseInfos_Table[],5,FALSE)</f>
        <v>Fan et al., 2017 / American Institute for chemical Engineers</v>
      </c>
      <c r="F19" s="10" t="str">
        <f>VLOOKUP(Table3[[#This Row],[Marker Name / Summenformel]],BaseInfos_Table[],6,FALSE)</f>
        <v>IR</v>
      </c>
      <c r="G19" s="10" t="str">
        <f>VLOOKUP(Table3[[#This Row],[Marker Name / Summenformel]],BaseInfos_Table[],7,FALSE)</f>
        <v>Y</v>
      </c>
      <c r="H19" s="10">
        <f>VLOOKUP(Table3[[#This Row],[Marker Name / Summenformel]],BaseInfos_Table[],8,FALSE)</f>
        <v>1</v>
      </c>
      <c r="I19" s="10" t="str">
        <f>VLOOKUP(Table3[[#This Row],[Marker Name / Summenformel]],BaseInfos_Table[],9,FALSE)</f>
        <v>https://echa.europa.eu/de/substance-information/-/substanceinfo/100.020.039</v>
      </c>
      <c r="J19" s="10" t="str">
        <f>VLOOKUP(Table3[[#This Row],[Marker Name / Summenformel]],BaseInfos_Table[],10,FALSE)</f>
        <v>https://www.sigmaaldrich.com/AT/en/search/3326-32-7?focus=products&amp;page=1&amp;perPage=30&amp;sort=relevance&amp;term=3326-32-7&amp;type=product</v>
      </c>
      <c r="K19" s="10">
        <f>VLOOKUP(Table3[[#This Row],[Marker Name / Summenformel]],BaseInfos_Table[],11,FALSE)</f>
        <v>0</v>
      </c>
      <c r="L19" s="10" t="str">
        <f>VLOOKUP(Table3[[#This Row],[Marker Name / Summenformel]],GHS_Table[#All],3,FALSE)</f>
        <v>CLP</v>
      </c>
      <c r="M19" s="10" t="str">
        <f>VLOOKUP(Table3[[#This Row],[Marker Name / Summenformel]],GHS_Table[#All],4,FALSE)</f>
        <v>n.a.</v>
      </c>
      <c r="N19" s="10">
        <f>VLOOKUP(Table3[[#This Row],[Marker Name / Summenformel]],GHS_Table[#All],5,FALSE)</f>
        <v>7</v>
      </c>
      <c r="O19" s="10">
        <f>VLOOKUP(Table3[[#This Row],[Marker Name / Summenformel]],GHS_Table[#All],6,FALSE)</f>
        <v>2</v>
      </c>
      <c r="P19" s="10" t="str">
        <f>VLOOKUP(Table3[[#This Row],[Marker Name / Summenformel]],PhysChem_Table[],3,FALSE)</f>
        <v>solid: powder</v>
      </c>
      <c r="Q19" s="10" t="str">
        <f>VLOOKUP(Table3[[#This Row],[Marker Name / Summenformel]],PhysChem_Table[],4,FALSE)</f>
        <v>brown-orange</v>
      </c>
      <c r="R19" s="10">
        <f>VLOOKUP(Table3[[#This Row],[Marker Name / Summenformel]],PhysChem_Table[],5,FALSE)</f>
        <v>360</v>
      </c>
      <c r="S19" s="10" t="str">
        <f>VLOOKUP(Table3[[#This Row],[Marker Name / Summenformel]],PhysChem_Table[],6,FALSE)</f>
        <v>n.s.</v>
      </c>
      <c r="T19" s="10">
        <f>VLOOKUP(Table3[[#This Row],[Marker Name / Summenformel]],PhysChem_Table[],7,FALSE)</f>
        <v>708.6</v>
      </c>
      <c r="U19" s="10">
        <f>VLOOKUP(Table3[[#This Row],[Marker Name / Summenformel]],PhysChem_Table[],8,FALSE)</f>
        <v>101.3</v>
      </c>
      <c r="V19" s="10" t="str">
        <f>VLOOKUP(Table3[[#This Row],[Marker Name / Summenformel]],PhysChem_Table[],9,FALSE)</f>
        <v>n.a.</v>
      </c>
      <c r="W19" s="10" t="str">
        <f>VLOOKUP(Table3[[#This Row],[Marker Name / Summenformel]],PhysChem_Table[],10,FALSE)</f>
        <v>n.a.</v>
      </c>
      <c r="X19" s="10" t="str">
        <f>VLOOKUP(Table3[[#This Row],[Marker Name / Summenformel]],PhysChem_Table[],11,FALSE)</f>
        <v>n.a.</v>
      </c>
      <c r="Y19" s="10" t="str">
        <f>VLOOKUP(Table3[[#This Row],[Marker Name / Summenformel]],PhysChem_Table[],12,FALSE)</f>
        <v>n.a.</v>
      </c>
      <c r="Z19" s="10" t="str">
        <f>VLOOKUP(Table3[[#This Row],[Marker Name / Summenformel]],PhysChem_Table[],13,FALSE)</f>
        <v>n.a.</v>
      </c>
      <c r="AA19" s="10">
        <f>VLOOKUP(Table3[[#This Row],[Marker Name / Summenformel]],PhysChem_Table[],14,FALSE)</f>
        <v>3.9</v>
      </c>
      <c r="AB19" s="10">
        <f>VLOOKUP(Table3[[#This Row],[Marker Name / Summenformel]],PhysChem_Table[],15,FALSE)</f>
        <v>25</v>
      </c>
      <c r="AC19" s="10" t="str">
        <f>VLOOKUP(Table3[[#This Row],[Marker Name / Summenformel]],PhysChem_Table[],16,FALSE)</f>
        <v>n.a.</v>
      </c>
      <c r="AD19" s="10" t="str">
        <f>VLOOKUP(Table3[[#This Row],[Marker Name / Summenformel]],PhysChem_Table[],17,FALSE)</f>
        <v>n.a.</v>
      </c>
      <c r="AE19" s="10" t="str">
        <f>VLOOKUP(Table3[[#This Row],[Marker Name / Summenformel]],PhysChem_Table[],18,FALSE)</f>
        <v>n.a.</v>
      </c>
      <c r="AF19" s="10" t="str">
        <f>VLOOKUP(Table3[[#This Row],[Marker Name / Summenformel]],PhysChem_Table[],19,FALSE)</f>
        <v>n.a.</v>
      </c>
      <c r="AG19" s="10" t="str">
        <f>VLOOKUP(Table3[[#This Row],[Marker Name / Summenformel]],PhysChem_Table[],20,FALSE)</f>
        <v>n.a.</v>
      </c>
      <c r="AH19" s="10" t="str">
        <f>VLOOKUP(Table3[[#This Row],[Marker Name / Summenformel]],PhysChem_Table[],21,FALSE)</f>
        <v>n.a.</v>
      </c>
      <c r="AI19" s="10" t="str">
        <f>VLOOKUP(Table3[[#This Row],[Marker Name / Summenformel]],PhysChem_Table[],22,FALSE)</f>
        <v>n.a.</v>
      </c>
      <c r="AJ19" s="10" t="str">
        <f>VLOOKUP(Table3[[#This Row],[Marker Name / Summenformel]],PhysChem_Table[],23,FALSE)</f>
        <v>n.a.</v>
      </c>
      <c r="AK19" s="10" t="str">
        <f>VLOOKUP(Table3[[#This Row],[Marker Name / Summenformel]],PhysChem_Table[],24,FALSE)</f>
        <v>n.a.</v>
      </c>
      <c r="AL19" s="10" t="str">
        <f>VLOOKUP(Table3[[#This Row],[Marker Name / Summenformel]],PhysChem_Table[],25,FALSE)</f>
        <v>n.a.</v>
      </c>
      <c r="AM19" s="10" t="str">
        <f>VLOOKUP(Table3[[#This Row],[Marker Name / Summenformel]],PhysChem_Table[],26,FALSE)</f>
        <v>n.a.</v>
      </c>
      <c r="AN19" s="10" t="str">
        <f>VLOOKUP(Table3[[#This Row],[Marker Name / Summenformel]],PhysChem_Table[],27,FALSE)</f>
        <v>n.a.</v>
      </c>
      <c r="AO19" s="10" t="str">
        <f>VLOOKUP(Table3[[#This Row],[Marker Name / Summenformel]],PhysChem_Table[],28,FALSE)</f>
        <v>n.a.</v>
      </c>
      <c r="AP19" s="10" t="str">
        <f>VLOOKUP(Table3[[#This Row],[Marker Name / Summenformel]],PhysChem_Table[],29,FALSE)</f>
        <v>n.a.</v>
      </c>
      <c r="AQ19" s="10" t="str">
        <f>VLOOKUP(Table3[[#This Row],[Marker Name / Summenformel]],PhysChem_Table[],30,FALSE)</f>
        <v>n.a.</v>
      </c>
      <c r="AR19" s="10" t="str">
        <f>VLOOKUP(Table3[[#This Row],[Marker Name / Summenformel]],PhysChem_Table[],31,FALSE)</f>
        <v>n.a.</v>
      </c>
      <c r="AS19" s="10" t="str">
        <f>VLOOKUP(Table3[[#This Row],[Marker Name / Summenformel]],PhysChem_Table[],32,FALSE)</f>
        <v>n.a.</v>
      </c>
      <c r="AT19" s="10" t="str">
        <f>VLOOKUP(Table3[[#This Row],[Marker Name / Summenformel]],PhysChem_Table[],33,FALSE)</f>
        <v>n.a.</v>
      </c>
      <c r="AU19" s="10" t="str">
        <f>VLOOKUP(Table3[[#This Row],[Marker Name / Summenformel]],PhysChem_Table[],34,FALSE)</f>
        <v>https://www.sigmaaldrich.com/AT/en/sds/sigma/f4274</v>
      </c>
      <c r="AV19" s="10">
        <f>VLOOKUP(Table3[[#This Row],[Marker Name / Summenformel]],PhysChem_Table[],35,FALSE)</f>
        <v>0</v>
      </c>
    </row>
    <row r="20" spans="1:48" ht="14.45" customHeight="1" x14ac:dyDescent="0.3">
      <c r="A20" s="10" t="s">
        <v>234</v>
      </c>
      <c r="B20" s="38" t="str">
        <f>VLOOKUP(Table3[[#This Row],[Marker Name / Summenformel]],BaseInfos_Table[],2,FALSE)</f>
        <v>tricarbocyanine dye</v>
      </c>
      <c r="C20" s="38" t="str">
        <f>VLOOKUP(Table3[[#This Row],[Marker Name / Summenformel]],BaseInfos_Table[],3,FALSE)</f>
        <v>3599-32-4</v>
      </c>
      <c r="D20" s="38" t="str">
        <f>VLOOKUP(Table3[[#This Row],[Marker Name / Summenformel]],BaseInfos_Table[],4,FALSE)</f>
        <v>222-751-5</v>
      </c>
      <c r="E20" s="38" t="str">
        <f>VLOOKUP(Table3[[#This Row],[Marker Name / Summenformel]],BaseInfos_Table[],5,FALSE)</f>
        <v>Fan et al., 2017 / American Institute for chemical Engineers</v>
      </c>
      <c r="F20" s="38" t="str">
        <f>VLOOKUP(Table3[[#This Row],[Marker Name / Summenformel]],BaseInfos_Table[],6,FALSE)</f>
        <v>IR</v>
      </c>
      <c r="G20" s="38" t="str">
        <f>VLOOKUP(Table3[[#This Row],[Marker Name / Summenformel]],BaseInfos_Table[],7,FALSE)</f>
        <v>Y</v>
      </c>
      <c r="H20" s="38" t="str">
        <f>VLOOKUP(Table3[[#This Row],[Marker Name / Summenformel]],BaseInfos_Table[],8,FALSE)</f>
        <v>n.a.</v>
      </c>
      <c r="I20" s="38" t="str">
        <f>VLOOKUP(Table3[[#This Row],[Marker Name / Summenformel]],BaseInfos_Table[],9,FALSE)</f>
        <v>https://echa.europa.eu/de/substance-information/-/substanceinfo/100.020.683</v>
      </c>
      <c r="J20" s="38" t="str">
        <f>VLOOKUP(Table3[[#This Row],[Marker Name / Summenformel]],BaseInfos_Table[],10,FALSE)</f>
        <v>https://www.sigmaaldrich.com/AT/en/search/3599-32-4?focus=products&amp;page=1&amp;perPage=30&amp;sort=relevance&amp;term=3599-32-4&amp;type=product</v>
      </c>
      <c r="K20" s="38">
        <f>VLOOKUP(Table3[[#This Row],[Marker Name / Summenformel]],BaseInfos_Table[],11,FALSE)</f>
        <v>0</v>
      </c>
      <c r="L20" s="10" t="str">
        <f>VLOOKUP(Table3[[#This Row],[Marker Name / Summenformel]],GHS_Table[#All],3,FALSE)</f>
        <v>CLP</v>
      </c>
      <c r="M20" s="10" t="str">
        <f>VLOOKUP(Table3[[#This Row],[Marker Name / Summenformel]],GHS_Table[#All],4,FALSE)</f>
        <v>n.a.</v>
      </c>
      <c r="N20" s="10">
        <f>VLOOKUP(Table3[[#This Row],[Marker Name / Summenformel]],GHS_Table[#All],5,FALSE)</f>
        <v>3</v>
      </c>
      <c r="O20" s="10">
        <f>VLOOKUP(Table3[[#This Row],[Marker Name / Summenformel]],GHS_Table[#All],6,FALSE)</f>
        <v>3</v>
      </c>
      <c r="P20" s="38" t="str">
        <f>VLOOKUP(Table3[[#This Row],[Marker Name / Summenformel]],PhysChem_Table[],3,FALSE)</f>
        <v>solid: powder/crystaline</v>
      </c>
      <c r="Q20" s="38" t="str">
        <f>VLOOKUP(Table3[[#This Row],[Marker Name / Summenformel]],PhysChem_Table[],4,FALSE)</f>
        <v>dark green, black, blue</v>
      </c>
      <c r="R20" s="38">
        <f>VLOOKUP(Table3[[#This Row],[Marker Name / Summenformel]],PhysChem_Table[],5,FALSE)</f>
        <v>200</v>
      </c>
      <c r="S20" s="38" t="str">
        <f>VLOOKUP(Table3[[#This Row],[Marker Name / Summenformel]],PhysChem_Table[],6,FALSE)</f>
        <v>n.s.</v>
      </c>
      <c r="T20" s="38" t="str">
        <f>VLOOKUP(Table3[[#This Row],[Marker Name / Summenformel]],PhysChem_Table[],7,FALSE)</f>
        <v>n.a.</v>
      </c>
      <c r="U20" s="38" t="str">
        <f>VLOOKUP(Table3[[#This Row],[Marker Name / Summenformel]],PhysChem_Table[],8,FALSE)</f>
        <v>n.a.</v>
      </c>
      <c r="V20" s="38" t="str">
        <f>VLOOKUP(Table3[[#This Row],[Marker Name / Summenformel]],PhysChem_Table[],9,FALSE)</f>
        <v>n.a.</v>
      </c>
      <c r="W20" s="38" t="str">
        <f>VLOOKUP(Table3[[#This Row],[Marker Name / Summenformel]],PhysChem_Table[],10,FALSE)</f>
        <v>n.a.</v>
      </c>
      <c r="X20" s="38" t="str">
        <f>VLOOKUP(Table3[[#This Row],[Marker Name / Summenformel]],PhysChem_Table[],11,FALSE)</f>
        <v>n.a.</v>
      </c>
      <c r="Y20" s="38" t="str">
        <f>VLOOKUP(Table3[[#This Row],[Marker Name / Summenformel]],PhysChem_Table[],12,FALSE)</f>
        <v>n.a.</v>
      </c>
      <c r="Z20" s="38" t="str">
        <f>VLOOKUP(Table3[[#This Row],[Marker Name / Summenformel]],PhysChem_Table[],13,FALSE)</f>
        <v>n.a.</v>
      </c>
      <c r="AA20" s="38">
        <f>VLOOKUP(Table3[[#This Row],[Marker Name / Summenformel]],PhysChem_Table[],14,FALSE)</f>
        <v>-0.28999999999999998</v>
      </c>
      <c r="AB20" s="38" t="str">
        <f>VLOOKUP(Table3[[#This Row],[Marker Name / Summenformel]],PhysChem_Table[],15,FALSE)</f>
        <v>n.s.</v>
      </c>
      <c r="AC20" s="38" t="str">
        <f>VLOOKUP(Table3[[#This Row],[Marker Name / Summenformel]],PhysChem_Table[],16,FALSE)</f>
        <v>n.s.</v>
      </c>
      <c r="AD20" s="38" t="str">
        <f>VLOOKUP(Table3[[#This Row],[Marker Name / Summenformel]],PhysChem_Table[],17,FALSE)</f>
        <v>n.s.</v>
      </c>
      <c r="AE20" s="38" t="str">
        <f>VLOOKUP(Table3[[#This Row],[Marker Name / Summenformel]],PhysChem_Table[],18,FALSE)</f>
        <v>ethanol</v>
      </c>
      <c r="AF20" s="38" t="str">
        <f>VLOOKUP(Table3[[#This Row],[Marker Name / Summenformel]],PhysChem_Table[],19,FALSE)</f>
        <v>n.a.</v>
      </c>
      <c r="AG20" s="38" t="str">
        <f>VLOOKUP(Table3[[#This Row],[Marker Name / Summenformel]],PhysChem_Table[],20,FALSE)</f>
        <v>n.a.</v>
      </c>
      <c r="AH20" s="38" t="str">
        <f>VLOOKUP(Table3[[#This Row],[Marker Name / Summenformel]],PhysChem_Table[],21,FALSE)</f>
        <v>n.a.</v>
      </c>
      <c r="AI20" s="38" t="str">
        <f>VLOOKUP(Table3[[#This Row],[Marker Name / Summenformel]],PhysChem_Table[],22,FALSE)</f>
        <v>n.a.</v>
      </c>
      <c r="AJ20" s="38" t="str">
        <f>VLOOKUP(Table3[[#This Row],[Marker Name / Summenformel]],PhysChem_Table[],23,FALSE)</f>
        <v>n.a.</v>
      </c>
      <c r="AK20" s="38" t="str">
        <f>VLOOKUP(Table3[[#This Row],[Marker Name / Summenformel]],PhysChem_Table[],24,FALSE)</f>
        <v>n.a.</v>
      </c>
      <c r="AL20" s="38" t="str">
        <f>VLOOKUP(Table3[[#This Row],[Marker Name / Summenformel]],PhysChem_Table[],25,FALSE)</f>
        <v>n.a.</v>
      </c>
      <c r="AM20" s="38" t="str">
        <f>VLOOKUP(Table3[[#This Row],[Marker Name / Summenformel]],PhysChem_Table[],26,FALSE)</f>
        <v>n.a.</v>
      </c>
      <c r="AN20" s="38" t="str">
        <f>VLOOKUP(Table3[[#This Row],[Marker Name / Summenformel]],PhysChem_Table[],27,FALSE)</f>
        <v>n.a.</v>
      </c>
      <c r="AO20" s="38" t="str">
        <f>VLOOKUP(Table3[[#This Row],[Marker Name / Summenformel]],PhysChem_Table[],28,FALSE)</f>
        <v>n.a.</v>
      </c>
      <c r="AP20" s="38" t="str">
        <f>VLOOKUP(Table3[[#This Row],[Marker Name / Summenformel]],PhysChem_Table[],29,FALSE)</f>
        <v>n.a.</v>
      </c>
      <c r="AQ20" s="38" t="str">
        <f>VLOOKUP(Table3[[#This Row],[Marker Name / Summenformel]],PhysChem_Table[],30,FALSE)</f>
        <v>n.a.</v>
      </c>
      <c r="AR20" s="38">
        <f>VLOOKUP(Table3[[#This Row],[Marker Name / Summenformel]],PhysChem_Table[],31,FALSE)</f>
        <v>6</v>
      </c>
      <c r="AS20" s="38" t="str">
        <f>VLOOKUP(Table3[[#This Row],[Marker Name / Summenformel]],PhysChem_Table[],32,FALSE)</f>
        <v>n.a.</v>
      </c>
      <c r="AT20" s="38" t="str">
        <f>VLOOKUP(Table3[[#This Row],[Marker Name / Summenformel]],PhysChem_Table[],33,FALSE)</f>
        <v>n.a.</v>
      </c>
      <c r="AU20" s="38" t="str">
        <f>VLOOKUP(Table3[[#This Row],[Marker Name / Summenformel]],PhysChem_Table[],34,FALSE)</f>
        <v>https://pubchem.ncbi.nlm.nih.gov/compound/11967809</v>
      </c>
      <c r="AV20" s="10">
        <f>VLOOKUP(Table3[[#This Row],[Marker Name / Summenformel]],PhysChem_Table[],35,FALSE)</f>
        <v>0</v>
      </c>
    </row>
    <row r="21" spans="1:48" ht="14.45" customHeight="1" x14ac:dyDescent="0.3">
      <c r="A21" s="10" t="s">
        <v>235</v>
      </c>
      <c r="B21" s="10" t="str">
        <f>VLOOKUP(Table3[[#This Row],[Marker Name / Summenformel]],BaseInfos_Table[],2,FALSE)</f>
        <v>organic chloride salt</v>
      </c>
      <c r="C21" s="10" t="str">
        <f>VLOOKUP(Table3[[#This Row],[Marker Name / Summenformel]],BaseInfos_Table[],3,FALSE)</f>
        <v>61-73-4</v>
      </c>
      <c r="D21" s="10" t="str">
        <f>VLOOKUP(Table3[[#This Row],[Marker Name / Summenformel]],BaseInfos_Table[],4,FALSE)</f>
        <v>200-515-2</v>
      </c>
      <c r="E21" s="10" t="str">
        <f>VLOOKUP(Table3[[#This Row],[Marker Name / Summenformel]],BaseInfos_Table[],5,FALSE)</f>
        <v>Fan et al., 2017 / American Institute for chemical Engineers</v>
      </c>
      <c r="F21" s="10" t="str">
        <f>VLOOKUP(Table3[[#This Row],[Marker Name / Summenformel]],BaseInfos_Table[],6,FALSE)</f>
        <v>IR</v>
      </c>
      <c r="G21" s="10" t="str">
        <f>VLOOKUP(Table3[[#This Row],[Marker Name / Summenformel]],BaseInfos_Table[],7,FALSE)</f>
        <v>Y</v>
      </c>
      <c r="H21" s="10">
        <f>VLOOKUP(Table3[[#This Row],[Marker Name / Summenformel]],BaseInfos_Table[],8,FALSE)</f>
        <v>1</v>
      </c>
      <c r="I21" s="10" t="str">
        <f>VLOOKUP(Table3[[#This Row],[Marker Name / Summenformel]],BaseInfos_Table[],9,FALSE)</f>
        <v>https://echa.europa.eu/de/substance-information/-/substanceinfo/100.000.469</v>
      </c>
      <c r="J21" s="10" t="str">
        <f>VLOOKUP(Table3[[#This Row],[Marker Name / Summenformel]],BaseInfos_Table[],10,FALSE)</f>
        <v>https://www.sigmaaldrich.com/AT/en/search/61-73-4?focus=products&amp;page=1&amp;perPage=30&amp;sort=relevance&amp;term=61-73-4&amp;type=product</v>
      </c>
      <c r="K21" s="10">
        <f>VLOOKUP(Table3[[#This Row],[Marker Name / Summenformel]],BaseInfos_Table[],11,FALSE)</f>
        <v>0</v>
      </c>
      <c r="L21" s="10" t="str">
        <f>VLOOKUP(Table3[[#This Row],[Marker Name / Summenformel]],GHS_Table[#All],3,FALSE)</f>
        <v>CLP</v>
      </c>
      <c r="M21" s="10" t="str">
        <f>VLOOKUP(Table3[[#This Row],[Marker Name / Summenformel]],GHS_Table[#All],4,FALSE)</f>
        <v>n.a.</v>
      </c>
      <c r="N21" s="10">
        <f>VLOOKUP(Table3[[#This Row],[Marker Name / Summenformel]],GHS_Table[#All],5,FALSE)</f>
        <v>8</v>
      </c>
      <c r="O21" s="10">
        <f>VLOOKUP(Table3[[#This Row],[Marker Name / Summenformel]],GHS_Table[#All],6,FALSE)</f>
        <v>1</v>
      </c>
      <c r="P21" s="10" t="str">
        <f>VLOOKUP(Table3[[#This Row],[Marker Name / Summenformel]],PhysChem_Table[],3,FALSE)</f>
        <v>solid: powder/crystaline</v>
      </c>
      <c r="Q21" s="10" t="str">
        <f>VLOOKUP(Table3[[#This Row],[Marker Name / Summenformel]],PhysChem_Table[],4,FALSE)</f>
        <v>dark green</v>
      </c>
      <c r="R21" s="10">
        <f>VLOOKUP(Table3[[#This Row],[Marker Name / Summenformel]],PhysChem_Table[],5,FALSE)</f>
        <v>110</v>
      </c>
      <c r="S21" s="10" t="str">
        <f>VLOOKUP(Table3[[#This Row],[Marker Name / Summenformel]],PhysChem_Table[],6,FALSE)</f>
        <v>n.s.</v>
      </c>
      <c r="T21" s="10" t="str">
        <f>VLOOKUP(Table3[[#This Row],[Marker Name / Summenformel]],PhysChem_Table[],7,FALSE)</f>
        <v>n.a.</v>
      </c>
      <c r="U21" s="10" t="str">
        <f>VLOOKUP(Table3[[#This Row],[Marker Name / Summenformel]],PhysChem_Table[],8,FALSE)</f>
        <v>n.a.</v>
      </c>
      <c r="V21" s="10" t="str">
        <f>VLOOKUP(Table3[[#This Row],[Marker Name / Summenformel]],PhysChem_Table[],9,FALSE)</f>
        <v>n.a.</v>
      </c>
      <c r="W21" s="10" t="str">
        <f>VLOOKUP(Table3[[#This Row],[Marker Name / Summenformel]],PhysChem_Table[],10,FALSE)</f>
        <v>n.a.</v>
      </c>
      <c r="X21" s="10" t="str">
        <f>VLOOKUP(Table3[[#This Row],[Marker Name / Summenformel]],PhysChem_Table[],11,FALSE)</f>
        <v>n.a.</v>
      </c>
      <c r="Y21" s="10">
        <f>VLOOKUP(Table3[[#This Row],[Marker Name / Summenformel]],PhysChem_Table[],12,FALSE)</f>
        <v>933.25</v>
      </c>
      <c r="Z21" s="10">
        <f>VLOOKUP(Table3[[#This Row],[Marker Name / Summenformel]],PhysChem_Table[],13,FALSE)</f>
        <v>25</v>
      </c>
      <c r="AA21" s="10">
        <f>VLOOKUP(Table3[[#This Row],[Marker Name / Summenformel]],PhysChem_Table[],14,FALSE)</f>
        <v>0.75</v>
      </c>
      <c r="AB21" s="10" t="str">
        <f>VLOOKUP(Table3[[#This Row],[Marker Name / Summenformel]],PhysChem_Table[],15,FALSE)</f>
        <v>n.a.</v>
      </c>
      <c r="AC21" s="10">
        <f>VLOOKUP(Table3[[#This Row],[Marker Name / Summenformel]],PhysChem_Table[],16,FALSE)</f>
        <v>43.6</v>
      </c>
      <c r="AD21" s="10">
        <f>VLOOKUP(Table3[[#This Row],[Marker Name / Summenformel]],PhysChem_Table[],17,FALSE)</f>
        <v>25</v>
      </c>
      <c r="AE21" s="10" t="str">
        <f>VLOOKUP(Table3[[#This Row],[Marker Name / Summenformel]],PhysChem_Table[],18,FALSE)</f>
        <v>ethanol, chloroform</v>
      </c>
      <c r="AF21" s="10" t="str">
        <f>VLOOKUP(Table3[[#This Row],[Marker Name / Summenformel]],PhysChem_Table[],19,FALSE)</f>
        <v>n.s.</v>
      </c>
      <c r="AG21" s="10" t="str">
        <f>VLOOKUP(Table3[[#This Row],[Marker Name / Summenformel]],PhysChem_Table[],20,FALSE)</f>
        <v>n.s.</v>
      </c>
      <c r="AH21" s="10" t="str">
        <f>VLOOKUP(Table3[[#This Row],[Marker Name / Summenformel]],PhysChem_Table[],21,FALSE)</f>
        <v>n.a.</v>
      </c>
      <c r="AI21" s="10" t="str">
        <f>VLOOKUP(Table3[[#This Row],[Marker Name / Summenformel]],PhysChem_Table[],22,FALSE)</f>
        <v>n.a.</v>
      </c>
      <c r="AJ21" s="10" t="str">
        <f>VLOOKUP(Table3[[#This Row],[Marker Name / Summenformel]],PhysChem_Table[],23,FALSE)</f>
        <v>n.a.</v>
      </c>
      <c r="AK21" s="10" t="str">
        <f>VLOOKUP(Table3[[#This Row],[Marker Name / Summenformel]],PhysChem_Table[],24,FALSE)</f>
        <v>n.a.</v>
      </c>
      <c r="AL21" s="10" t="str">
        <f>VLOOKUP(Table3[[#This Row],[Marker Name / Summenformel]],PhysChem_Table[],25,FALSE)</f>
        <v>n.a.</v>
      </c>
      <c r="AM21" s="10" t="str">
        <f>VLOOKUP(Table3[[#This Row],[Marker Name / Summenformel]],PhysChem_Table[],26,FALSE)</f>
        <v>n.a.</v>
      </c>
      <c r="AN21" s="10" t="str">
        <f>VLOOKUP(Table3[[#This Row],[Marker Name / Summenformel]],PhysChem_Table[],27,FALSE)</f>
        <v>n.a.</v>
      </c>
      <c r="AO21" s="10" t="str">
        <f>VLOOKUP(Table3[[#This Row],[Marker Name / Summenformel]],PhysChem_Table[],28,FALSE)</f>
        <v>n.a.</v>
      </c>
      <c r="AP21" s="10" t="str">
        <f>VLOOKUP(Table3[[#This Row],[Marker Name / Summenformel]],PhysChem_Table[],29,FALSE)</f>
        <v>n.a.</v>
      </c>
      <c r="AQ21" s="10" t="str">
        <f>VLOOKUP(Table3[[#This Row],[Marker Name / Summenformel]],PhysChem_Table[],30,FALSE)</f>
        <v>n.a.</v>
      </c>
      <c r="AR21" s="10" t="str">
        <f>VLOOKUP(Table3[[#This Row],[Marker Name / Summenformel]],PhysChem_Table[],31,FALSE)</f>
        <v>n.a.</v>
      </c>
      <c r="AS21" s="10">
        <f>VLOOKUP(Table3[[#This Row],[Marker Name / Summenformel]],PhysChem_Table[],32,FALSE)</f>
        <v>3.14</v>
      </c>
      <c r="AT21" s="10" t="str">
        <f>VLOOKUP(Table3[[#This Row],[Marker Name / Summenformel]],PhysChem_Table[],33,FALSE)</f>
        <v>.n.a</v>
      </c>
      <c r="AU21" s="10" t="str">
        <f>VLOOKUP(Table3[[#This Row],[Marker Name / Summenformel]],PhysChem_Table[],34,FALSE)</f>
        <v>https://pubchem.ncbi.nlm.nih.gov/compound/6099</v>
      </c>
      <c r="AV21" s="10">
        <f>VLOOKUP(Table3[[#This Row],[Marker Name / Summenformel]],PhysChem_Table[],35,FALSE)</f>
        <v>0</v>
      </c>
    </row>
    <row r="22" spans="1:48" ht="14.45" customHeight="1" x14ac:dyDescent="0.3">
      <c r="A22" s="10" t="s">
        <v>250</v>
      </c>
      <c r="B22" s="10" t="str">
        <f>VLOOKUP(Table3[[#This Row],[Marker Name / Summenformel]],BaseInfos_Table[],2,FALSE)</f>
        <v>carbon nano tubes</v>
      </c>
      <c r="C22" s="10" t="str">
        <f>VLOOKUP(Table3[[#This Row],[Marker Name / Summenformel]],BaseInfos_Table[],3,FALSE)</f>
        <v>308068-56-6</v>
      </c>
      <c r="D22" s="10" t="str">
        <f>VLOOKUP(Table3[[#This Row],[Marker Name / Summenformel]],BaseInfos_Table[],4,FALSE)</f>
        <v>943-098-9</v>
      </c>
      <c r="E22" s="10" t="str">
        <f>VLOOKUP(Table3[[#This Row],[Marker Name / Summenformel]],BaseInfos_Table[],5,FALSE)</f>
        <v>Fan et al., 2017 / American Institute for chemical Engineers</v>
      </c>
      <c r="F22" s="10" t="str">
        <f>VLOOKUP(Table3[[#This Row],[Marker Name / Summenformel]],BaseInfos_Table[],6,FALSE)</f>
        <v>IR</v>
      </c>
      <c r="G22" s="10" t="str">
        <f>VLOOKUP(Table3[[#This Row],[Marker Name / Summenformel]],BaseInfos_Table[],7,FALSE)</f>
        <v>Y</v>
      </c>
      <c r="H22" s="10">
        <f>VLOOKUP(Table3[[#This Row],[Marker Name / Summenformel]],BaseInfos_Table[],8,FALSE)</f>
        <v>1</v>
      </c>
      <c r="I22" s="10" t="str">
        <f>VLOOKUP(Table3[[#This Row],[Marker Name / Summenformel]],BaseInfos_Table[],9,FALSE)</f>
        <v>https://echa.europa.eu/de/substance-information/-/substanceinfo/100.242.364</v>
      </c>
      <c r="J22" s="10" t="str">
        <f>VLOOKUP(Table3[[#This Row],[Marker Name / Summenformel]],BaseInfos_Table[],10,FALSE)</f>
        <v>https://www.sigmaaldrich.com/AT/en/substance/carbonnanotubesinglewalled12345308068566</v>
      </c>
      <c r="K22" s="10">
        <f>VLOOKUP(Table3[[#This Row],[Marker Name / Summenformel]],BaseInfos_Table[],11,FALSE)</f>
        <v>0</v>
      </c>
      <c r="L22" s="10" t="str">
        <f>VLOOKUP(Table3[[#This Row],[Marker Name / Summenformel]],GHS_Table[#All],3,FALSE)</f>
        <v>REACH</v>
      </c>
      <c r="M22" s="10">
        <f>VLOOKUP(Table3[[#This Row],[Marker Name / Summenformel]],GHS_Table[#All],4,FALSE)</f>
        <v>1</v>
      </c>
      <c r="N22" s="10">
        <f>VLOOKUP(Table3[[#This Row],[Marker Name / Summenformel]],GHS_Table[#All],5,FALSE)</f>
        <v>6</v>
      </c>
      <c r="O22" s="10">
        <f>VLOOKUP(Table3[[#This Row],[Marker Name / Summenformel]],GHS_Table[#All],6,FALSE)</f>
        <v>0</v>
      </c>
      <c r="P22" s="10" t="str">
        <f>VLOOKUP(Table3[[#This Row],[Marker Name / Summenformel]],PhysChem_Table[],3,FALSE)</f>
        <v>solid: nanoform</v>
      </c>
      <c r="Q22" s="10" t="str">
        <f>VLOOKUP(Table3[[#This Row],[Marker Name / Summenformel]],PhysChem_Table[],4,FALSE)</f>
        <v>black</v>
      </c>
      <c r="R22" s="10">
        <f>VLOOKUP(Table3[[#This Row],[Marker Name / Summenformel]],PhysChem_Table[],5,FALSE)</f>
        <v>400</v>
      </c>
      <c r="S22" s="10" t="str">
        <f>VLOOKUP(Table3[[#This Row],[Marker Name / Summenformel]],PhysChem_Table[],6,FALSE)</f>
        <v>n.s.</v>
      </c>
      <c r="T22" s="10" t="str">
        <f>VLOOKUP(Table3[[#This Row],[Marker Name / Summenformel]],PhysChem_Table[],7,FALSE)</f>
        <v>n.r.</v>
      </c>
      <c r="U22" s="10" t="str">
        <f>VLOOKUP(Table3[[#This Row],[Marker Name / Summenformel]],PhysChem_Table[],8,FALSE)</f>
        <v>n.r.</v>
      </c>
      <c r="V22" s="10">
        <f>VLOOKUP(Table3[[#This Row],[Marker Name / Summenformel]],PhysChem_Table[],9,FALSE)</f>
        <v>1.877</v>
      </c>
      <c r="W22" s="10">
        <f>VLOOKUP(Table3[[#This Row],[Marker Name / Summenformel]],PhysChem_Table[],10,FALSE)</f>
        <v>20</v>
      </c>
      <c r="X22" s="10" t="str">
        <f>VLOOKUP(Table3[[#This Row],[Marker Name / Summenformel]],PhysChem_Table[],11,FALSE)</f>
        <v>1-2.2 nm</v>
      </c>
      <c r="Y22" s="10" t="str">
        <f>VLOOKUP(Table3[[#This Row],[Marker Name / Summenformel]],PhysChem_Table[],12,FALSE)</f>
        <v>n.r.</v>
      </c>
      <c r="Z22" s="10" t="str">
        <f>VLOOKUP(Table3[[#This Row],[Marker Name / Summenformel]],PhysChem_Table[],13,FALSE)</f>
        <v>n.r.</v>
      </c>
      <c r="AA22" s="10" t="str">
        <f>VLOOKUP(Table3[[#This Row],[Marker Name / Summenformel]],PhysChem_Table[],14,FALSE)</f>
        <v>n.r.</v>
      </c>
      <c r="AB22" s="10" t="str">
        <f>VLOOKUP(Table3[[#This Row],[Marker Name / Summenformel]],PhysChem_Table[],15,FALSE)</f>
        <v>n.r.</v>
      </c>
      <c r="AC22" s="10">
        <f>VLOOKUP(Table3[[#This Row],[Marker Name / Summenformel]],PhysChem_Table[],16,FALSE)</f>
        <v>1E-3</v>
      </c>
      <c r="AD22" s="10">
        <f>VLOOKUP(Table3[[#This Row],[Marker Name / Summenformel]],PhysChem_Table[],17,FALSE)</f>
        <v>20</v>
      </c>
      <c r="AE22" s="10" t="str">
        <f>VLOOKUP(Table3[[#This Row],[Marker Name / Summenformel]],PhysChem_Table[],18,FALSE)</f>
        <v>n.r.</v>
      </c>
      <c r="AF22" s="10" t="str">
        <f>VLOOKUP(Table3[[#This Row],[Marker Name / Summenformel]],PhysChem_Table[],19,FALSE)</f>
        <v>n.r.</v>
      </c>
      <c r="AG22" s="10" t="str">
        <f>VLOOKUP(Table3[[#This Row],[Marker Name / Summenformel]],PhysChem_Table[],20,FALSE)</f>
        <v>n.r.</v>
      </c>
      <c r="AH22" s="10" t="str">
        <f>VLOOKUP(Table3[[#This Row],[Marker Name / Summenformel]],PhysChem_Table[],21,FALSE)</f>
        <v>n.r.</v>
      </c>
      <c r="AI22" s="10" t="str">
        <f>VLOOKUP(Table3[[#This Row],[Marker Name / Summenformel]],PhysChem_Table[],22,FALSE)</f>
        <v>n.r.</v>
      </c>
      <c r="AJ22" s="10" t="str">
        <f>VLOOKUP(Table3[[#This Row],[Marker Name / Summenformel]],PhysChem_Table[],23,FALSE)</f>
        <v>n.r.</v>
      </c>
      <c r="AK22" s="10" t="str">
        <f>VLOOKUP(Table3[[#This Row],[Marker Name / Summenformel]],PhysChem_Table[],24,FALSE)</f>
        <v>N</v>
      </c>
      <c r="AL22" s="10" t="str">
        <f>VLOOKUP(Table3[[#This Row],[Marker Name / Summenformel]],PhysChem_Table[],25,FALSE)</f>
        <v>no flammability</v>
      </c>
      <c r="AM22" s="10" t="str">
        <f>VLOOKUP(Table3[[#This Row],[Marker Name / Summenformel]],PhysChem_Table[],26,FALSE)</f>
        <v>n.r.</v>
      </c>
      <c r="AN22" s="10" t="str">
        <f>VLOOKUP(Table3[[#This Row],[Marker Name / Summenformel]],PhysChem_Table[],27,FALSE)</f>
        <v>n.r.</v>
      </c>
      <c r="AO22" s="10" t="str">
        <f>VLOOKUP(Table3[[#This Row],[Marker Name / Summenformel]],PhysChem_Table[],28,FALSE)</f>
        <v>n.a.</v>
      </c>
      <c r="AP22" s="10" t="str">
        <f>VLOOKUP(Table3[[#This Row],[Marker Name / Summenformel]],PhysChem_Table[],29,FALSE)</f>
        <v>n.a.</v>
      </c>
      <c r="AQ22" s="10" t="str">
        <f>VLOOKUP(Table3[[#This Row],[Marker Name / Summenformel]],PhysChem_Table[],30,FALSE)</f>
        <v>n.a.</v>
      </c>
      <c r="AR22" s="10" t="str">
        <f>VLOOKUP(Table3[[#This Row],[Marker Name / Summenformel]],PhysChem_Table[],31,FALSE)</f>
        <v>n.a.</v>
      </c>
      <c r="AS22" s="10" t="str">
        <f>VLOOKUP(Table3[[#This Row],[Marker Name / Summenformel]],PhysChem_Table[],32,FALSE)</f>
        <v>n.a.</v>
      </c>
      <c r="AT22" s="10" t="str">
        <f>VLOOKUP(Table3[[#This Row],[Marker Name / Summenformel]],PhysChem_Table[],33,FALSE)</f>
        <v>n.a.</v>
      </c>
      <c r="AU22" s="10" t="str">
        <f>VLOOKUP(Table3[[#This Row],[Marker Name / Summenformel]],PhysChem_Table[],34,FALSE)</f>
        <v>https://echa.europa.eu/de/registration-dossier/-/registered-dossier/18023</v>
      </c>
      <c r="AV22" s="10">
        <f>VLOOKUP(Table3[[#This Row],[Marker Name / Summenformel]],PhysChem_Table[],35,FALSE)</f>
        <v>0</v>
      </c>
    </row>
    <row r="23" spans="1:48" x14ac:dyDescent="0.3">
      <c r="A23" s="10" t="s">
        <v>260</v>
      </c>
      <c r="B23" s="10" t="str">
        <f>VLOOKUP(Table3[[#This Row],[Marker Name / Summenformel]],BaseInfos_Table[],2,FALSE)</f>
        <v>heptamethine cyanine dyes</v>
      </c>
      <c r="C23" s="10" t="str">
        <f>VLOOKUP(Table3[[#This Row],[Marker Name / Summenformel]],BaseInfos_Table[],3,FALSE)</f>
        <v>199444-11-6</v>
      </c>
      <c r="D23" s="10" t="str">
        <f>VLOOKUP(Table3[[#This Row],[Marker Name / Summenformel]],BaseInfos_Table[],4,FALSE)</f>
        <v>812-331-5</v>
      </c>
      <c r="E23" s="10" t="str">
        <f>VLOOKUP(Table3[[#This Row],[Marker Name / Summenformel]],BaseInfos_Table[],5,FALSE)</f>
        <v>Deng et al. 2018 / Theranostics</v>
      </c>
      <c r="F23" s="10" t="str">
        <f>VLOOKUP(Table3[[#This Row],[Marker Name / Summenformel]],BaseInfos_Table[],6,FALSE)</f>
        <v>IR</v>
      </c>
      <c r="G23" s="10" t="str">
        <f>VLOOKUP(Table3[[#This Row],[Marker Name / Summenformel]],BaseInfos_Table[],7,FALSE)</f>
        <v>Y</v>
      </c>
      <c r="H23" s="10" t="str">
        <f>VLOOKUP(Table3[[#This Row],[Marker Name / Summenformel]],BaseInfos_Table[],8,FALSE)</f>
        <v>n.a.</v>
      </c>
      <c r="I23" s="10" t="str">
        <f>VLOOKUP(Table3[[#This Row],[Marker Name / Summenformel]],BaseInfos_Table[],9,FALSE)</f>
        <v>https://echa.europa.eu/de/substance-information/-/substanceinfo/100.243.281</v>
      </c>
      <c r="J23" s="10" t="str">
        <f>VLOOKUP(Table3[[#This Row],[Marker Name / Summenformel]],BaseInfos_Table[],10,FALSE)</f>
        <v>https://www.sigmaaldrich.com/AT/en/product/aldrich/544914</v>
      </c>
      <c r="K23" s="10">
        <f>VLOOKUP(Table3[[#This Row],[Marker Name / Summenformel]],BaseInfos_Table[],11,FALSE)</f>
        <v>0</v>
      </c>
      <c r="L23" s="10" t="str">
        <f>VLOOKUP(Table3[[#This Row],[Marker Name / Summenformel]],GHS_Table[#All],3,FALSE)</f>
        <v>CLP</v>
      </c>
      <c r="M23" s="10" t="str">
        <f>VLOOKUP(Table3[[#This Row],[Marker Name / Summenformel]],GHS_Table[#All],4,FALSE)</f>
        <v>n.a.</v>
      </c>
      <c r="N23" s="10">
        <f>VLOOKUP(Table3[[#This Row],[Marker Name / Summenformel]],GHS_Table[#All],5,FALSE)</f>
        <v>2</v>
      </c>
      <c r="O23" s="10">
        <f>VLOOKUP(Table3[[#This Row],[Marker Name / Summenformel]],GHS_Table[#All],6,FALSE)</f>
        <v>0</v>
      </c>
      <c r="P23" s="10" t="str">
        <f>VLOOKUP(Table3[[#This Row],[Marker Name / Summenformel]],PhysChem_Table[],3,FALSE)</f>
        <v>solid</v>
      </c>
      <c r="Q23" s="10" t="str">
        <f>VLOOKUP(Table3[[#This Row],[Marker Name / Summenformel]],PhysChem_Table[],4,FALSE)</f>
        <v>n.a.</v>
      </c>
      <c r="R23" s="10">
        <f>VLOOKUP(Table3[[#This Row],[Marker Name / Summenformel]],PhysChem_Table[],5,FALSE)</f>
        <v>208</v>
      </c>
      <c r="S23" s="10" t="str">
        <f>VLOOKUP(Table3[[#This Row],[Marker Name / Summenformel]],PhysChem_Table[],6,FALSE)</f>
        <v>n.s.</v>
      </c>
      <c r="T23" s="10" t="str">
        <f>VLOOKUP(Table3[[#This Row],[Marker Name / Summenformel]],PhysChem_Table[],7,FALSE)</f>
        <v>n.a.</v>
      </c>
      <c r="U23" s="10" t="str">
        <f>VLOOKUP(Table3[[#This Row],[Marker Name / Summenformel]],PhysChem_Table[],8,FALSE)</f>
        <v>n.a.</v>
      </c>
      <c r="V23" s="10" t="str">
        <f>VLOOKUP(Table3[[#This Row],[Marker Name / Summenformel]],PhysChem_Table[],9,FALSE)</f>
        <v>n.a.</v>
      </c>
      <c r="W23" s="10" t="str">
        <f>VLOOKUP(Table3[[#This Row],[Marker Name / Summenformel]],PhysChem_Table[],10,FALSE)</f>
        <v>n.a.</v>
      </c>
      <c r="X23" s="10" t="str">
        <f>VLOOKUP(Table3[[#This Row],[Marker Name / Summenformel]],PhysChem_Table[],11,FALSE)</f>
        <v>n.a.</v>
      </c>
      <c r="Y23" s="10" t="str">
        <f>VLOOKUP(Table3[[#This Row],[Marker Name / Summenformel]],PhysChem_Table[],12,FALSE)</f>
        <v>n.a.</v>
      </c>
      <c r="Z23" s="10" t="str">
        <f>VLOOKUP(Table3[[#This Row],[Marker Name / Summenformel]],PhysChem_Table[],13,FALSE)</f>
        <v>n.a.</v>
      </c>
      <c r="AA23" s="10" t="str">
        <f>VLOOKUP(Table3[[#This Row],[Marker Name / Summenformel]],PhysChem_Table[],14,FALSE)</f>
        <v>n.a.</v>
      </c>
      <c r="AB23" s="10" t="str">
        <f>VLOOKUP(Table3[[#This Row],[Marker Name / Summenformel]],PhysChem_Table[],15,FALSE)</f>
        <v>n.a.</v>
      </c>
      <c r="AC23" s="10" t="str">
        <f>VLOOKUP(Table3[[#This Row],[Marker Name / Summenformel]],PhysChem_Table[],16,FALSE)</f>
        <v>n.a.</v>
      </c>
      <c r="AD23" s="10" t="str">
        <f>VLOOKUP(Table3[[#This Row],[Marker Name / Summenformel]],PhysChem_Table[],17,FALSE)</f>
        <v>n.a.</v>
      </c>
      <c r="AE23" s="10" t="str">
        <f>VLOOKUP(Table3[[#This Row],[Marker Name / Summenformel]],PhysChem_Table[],18,FALSE)</f>
        <v>n.a.</v>
      </c>
      <c r="AF23" s="10" t="str">
        <f>VLOOKUP(Table3[[#This Row],[Marker Name / Summenformel]],PhysChem_Table[],19,FALSE)</f>
        <v>n.a.</v>
      </c>
      <c r="AG23" s="10" t="str">
        <f>VLOOKUP(Table3[[#This Row],[Marker Name / Summenformel]],PhysChem_Table[],20,FALSE)</f>
        <v>n.a.</v>
      </c>
      <c r="AH23" s="10" t="str">
        <f>VLOOKUP(Table3[[#This Row],[Marker Name / Summenformel]],PhysChem_Table[],21,FALSE)</f>
        <v>n.a.</v>
      </c>
      <c r="AI23" s="10" t="str">
        <f>VLOOKUP(Table3[[#This Row],[Marker Name / Summenformel]],PhysChem_Table[],22,FALSE)</f>
        <v>n.a.</v>
      </c>
      <c r="AJ23" s="10" t="str">
        <f>VLOOKUP(Table3[[#This Row],[Marker Name / Summenformel]],PhysChem_Table[],23,FALSE)</f>
        <v>n.a.</v>
      </c>
      <c r="AK23" s="10" t="str">
        <f>VLOOKUP(Table3[[#This Row],[Marker Name / Summenformel]],PhysChem_Table[],24,FALSE)</f>
        <v>n.a.</v>
      </c>
      <c r="AL23" s="10" t="str">
        <f>VLOOKUP(Table3[[#This Row],[Marker Name / Summenformel]],PhysChem_Table[],25,FALSE)</f>
        <v xml:space="preserve">n.a. </v>
      </c>
      <c r="AM23" s="10" t="str">
        <f>VLOOKUP(Table3[[#This Row],[Marker Name / Summenformel]],PhysChem_Table[],26,FALSE)</f>
        <v>n.a.</v>
      </c>
      <c r="AN23" s="10" t="str">
        <f>VLOOKUP(Table3[[#This Row],[Marker Name / Summenformel]],PhysChem_Table[],27,FALSE)</f>
        <v>n.a.</v>
      </c>
      <c r="AO23" s="10" t="str">
        <f>VLOOKUP(Table3[[#This Row],[Marker Name / Summenformel]],PhysChem_Table[],28,FALSE)</f>
        <v>n.a.</v>
      </c>
      <c r="AP23" s="10" t="str">
        <f>VLOOKUP(Table3[[#This Row],[Marker Name / Summenformel]],PhysChem_Table[],29,FALSE)</f>
        <v>n.a.</v>
      </c>
      <c r="AQ23" s="10" t="str">
        <f>VLOOKUP(Table3[[#This Row],[Marker Name / Summenformel]],PhysChem_Table[],30,FALSE)</f>
        <v>n.a.</v>
      </c>
      <c r="AR23" s="10" t="str">
        <f>VLOOKUP(Table3[[#This Row],[Marker Name / Summenformel]],PhysChem_Table[],31,FALSE)</f>
        <v>n.a.</v>
      </c>
      <c r="AS23" s="10" t="str">
        <f>VLOOKUP(Table3[[#This Row],[Marker Name / Summenformel]],PhysChem_Table[],32,FALSE)</f>
        <v>n.a.</v>
      </c>
      <c r="AT23" s="10" t="str">
        <f>VLOOKUP(Table3[[#This Row],[Marker Name / Summenformel]],PhysChem_Table[],33,FALSE)</f>
        <v>n.a.</v>
      </c>
      <c r="AU23" s="10" t="str">
        <f>VLOOKUP(Table3[[#This Row],[Marker Name / Summenformel]],PhysChem_Table[],34,FALSE)</f>
        <v>https://www.sigmaaldrich.com/AT/en/sds/aldrich/544914</v>
      </c>
      <c r="AV23" s="10">
        <f>VLOOKUP(Table3[[#This Row],[Marker Name / Summenformel]],PhysChem_Table[],35,FALSE)</f>
        <v>0</v>
      </c>
    </row>
    <row r="24" spans="1:48" x14ac:dyDescent="0.3">
      <c r="A24" s="10" t="s">
        <v>264</v>
      </c>
      <c r="B24" s="10" t="str">
        <f>VLOOKUP(Table3[[#This Row],[Marker Name / Summenformel]],BaseInfos_Table[],2,FALSE)</f>
        <v>heptamethine cyanine dyes</v>
      </c>
      <c r="C24" s="10" t="str">
        <f>VLOOKUP(Table3[[#This Row],[Marker Name / Summenformel]],BaseInfos_Table[],3,FALSE)</f>
        <v>207399-07-3</v>
      </c>
      <c r="D24" s="10" t="str">
        <f>VLOOKUP(Table3[[#This Row],[Marker Name / Summenformel]],BaseInfos_Table[],4,FALSE)</f>
        <v>681-548-3</v>
      </c>
      <c r="E24" s="10" t="str">
        <f>VLOOKUP(Table3[[#This Row],[Marker Name / Summenformel]],BaseInfos_Table[],5,FALSE)</f>
        <v>Deng et al. 2018 / Theranostics</v>
      </c>
      <c r="F24" s="10" t="str">
        <f>VLOOKUP(Table3[[#This Row],[Marker Name / Summenformel]],BaseInfos_Table[],6,FALSE)</f>
        <v>IR</v>
      </c>
      <c r="G24" s="10" t="str">
        <f>VLOOKUP(Table3[[#This Row],[Marker Name / Summenformel]],BaseInfos_Table[],7,FALSE)</f>
        <v>Y</v>
      </c>
      <c r="H24" s="10" t="str">
        <f>VLOOKUP(Table3[[#This Row],[Marker Name / Summenformel]],BaseInfos_Table[],8,FALSE)</f>
        <v>n.a.</v>
      </c>
      <c r="I24" s="10" t="str">
        <f>VLOOKUP(Table3[[#This Row],[Marker Name / Summenformel]],BaseInfos_Table[],9,FALSE)</f>
        <v>https://echa.europa.eu/de/substance-information/-/substanceinfo/100.206.686</v>
      </c>
      <c r="J24" s="10" t="str">
        <f>VLOOKUP(Table3[[#This Row],[Marker Name / Summenformel]],BaseInfos_Table[],10,FALSE)</f>
        <v>https://www.sigmaaldrich.com/AT/en/product/aldrich/425311</v>
      </c>
      <c r="K24" s="10">
        <f>VLOOKUP(Table3[[#This Row],[Marker Name / Summenformel]],BaseInfos_Table[],11,FALSE)</f>
        <v>0</v>
      </c>
      <c r="L24" s="10" t="str">
        <f>VLOOKUP(Table3[[#This Row],[Marker Name / Summenformel]],GHS_Table[#All],3,FALSE)</f>
        <v>CLP</v>
      </c>
      <c r="M24" s="10" t="str">
        <f>VLOOKUP(Table3[[#This Row],[Marker Name / Summenformel]],GHS_Table[#All],4,FALSE)</f>
        <v>n.a.</v>
      </c>
      <c r="N24" s="10">
        <f>VLOOKUP(Table3[[#This Row],[Marker Name / Summenformel]],GHS_Table[#All],5,FALSE)</f>
        <v>3</v>
      </c>
      <c r="O24" s="10">
        <f>VLOOKUP(Table3[[#This Row],[Marker Name / Summenformel]],GHS_Table[#All],6,FALSE)</f>
        <v>0</v>
      </c>
      <c r="P24" s="10" t="str">
        <f>VLOOKUP(Table3[[#This Row],[Marker Name / Summenformel]],PhysChem_Table[],3,FALSE)</f>
        <v>solid</v>
      </c>
      <c r="Q24" s="10" t="str">
        <f>VLOOKUP(Table3[[#This Row],[Marker Name / Summenformel]],PhysChem_Table[],4,FALSE)</f>
        <v>n.a.</v>
      </c>
      <c r="R24" s="10">
        <f>VLOOKUP(Table3[[#This Row],[Marker Name / Summenformel]],PhysChem_Table[],5,FALSE)</f>
        <v>232</v>
      </c>
      <c r="S24" s="10" t="str">
        <f>VLOOKUP(Table3[[#This Row],[Marker Name / Summenformel]],PhysChem_Table[],6,FALSE)</f>
        <v>n.s.</v>
      </c>
      <c r="T24" s="10" t="str">
        <f>VLOOKUP(Table3[[#This Row],[Marker Name / Summenformel]],PhysChem_Table[],7,FALSE)</f>
        <v>n.a.</v>
      </c>
      <c r="U24" s="10" t="str">
        <f>VLOOKUP(Table3[[#This Row],[Marker Name / Summenformel]],PhysChem_Table[],8,FALSE)</f>
        <v>n.a.</v>
      </c>
      <c r="V24" s="10" t="str">
        <f>VLOOKUP(Table3[[#This Row],[Marker Name / Summenformel]],PhysChem_Table[],9,FALSE)</f>
        <v>n.a.</v>
      </c>
      <c r="W24" s="10" t="str">
        <f>VLOOKUP(Table3[[#This Row],[Marker Name / Summenformel]],PhysChem_Table[],10,FALSE)</f>
        <v>n.a.</v>
      </c>
      <c r="X24" s="10" t="str">
        <f>VLOOKUP(Table3[[#This Row],[Marker Name / Summenformel]],PhysChem_Table[],11,FALSE)</f>
        <v>n.a.</v>
      </c>
      <c r="Y24" s="10" t="str">
        <f>VLOOKUP(Table3[[#This Row],[Marker Name / Summenformel]],PhysChem_Table[],12,FALSE)</f>
        <v>n.a.</v>
      </c>
      <c r="Z24" s="10" t="str">
        <f>VLOOKUP(Table3[[#This Row],[Marker Name / Summenformel]],PhysChem_Table[],13,FALSE)</f>
        <v>n.a.</v>
      </c>
      <c r="AA24" s="10" t="str">
        <f>VLOOKUP(Table3[[#This Row],[Marker Name / Summenformel]],PhysChem_Table[],14,FALSE)</f>
        <v>n.a.</v>
      </c>
      <c r="AB24" s="10" t="str">
        <f>VLOOKUP(Table3[[#This Row],[Marker Name / Summenformel]],PhysChem_Table[],15,FALSE)</f>
        <v>n.a.</v>
      </c>
      <c r="AC24" s="10" t="str">
        <f>VLOOKUP(Table3[[#This Row],[Marker Name / Summenformel]],PhysChem_Table[],16,FALSE)</f>
        <v>n.a.</v>
      </c>
      <c r="AD24" s="10" t="str">
        <f>VLOOKUP(Table3[[#This Row],[Marker Name / Summenformel]],PhysChem_Table[],17,FALSE)</f>
        <v>n.a.</v>
      </c>
      <c r="AE24" s="10" t="str">
        <f>VLOOKUP(Table3[[#This Row],[Marker Name / Summenformel]],PhysChem_Table[],18,FALSE)</f>
        <v>n.a.</v>
      </c>
      <c r="AF24" s="10" t="str">
        <f>VLOOKUP(Table3[[#This Row],[Marker Name / Summenformel]],PhysChem_Table[],19,FALSE)</f>
        <v>n.a.</v>
      </c>
      <c r="AG24" s="10" t="str">
        <f>VLOOKUP(Table3[[#This Row],[Marker Name / Summenformel]],PhysChem_Table[],20,FALSE)</f>
        <v>n.a.</v>
      </c>
      <c r="AH24" s="10" t="str">
        <f>VLOOKUP(Table3[[#This Row],[Marker Name / Summenformel]],PhysChem_Table[],21,FALSE)</f>
        <v>n.a.</v>
      </c>
      <c r="AI24" s="10" t="str">
        <f>VLOOKUP(Table3[[#This Row],[Marker Name / Summenformel]],PhysChem_Table[],22,FALSE)</f>
        <v>n.a.</v>
      </c>
      <c r="AJ24" s="10" t="str">
        <f>VLOOKUP(Table3[[#This Row],[Marker Name / Summenformel]],PhysChem_Table[],23,FALSE)</f>
        <v>n.a.</v>
      </c>
      <c r="AK24" s="10" t="str">
        <f>VLOOKUP(Table3[[#This Row],[Marker Name / Summenformel]],PhysChem_Table[],24,FALSE)</f>
        <v>n.a.</v>
      </c>
      <c r="AL24" s="10" t="str">
        <f>VLOOKUP(Table3[[#This Row],[Marker Name / Summenformel]],PhysChem_Table[],25,FALSE)</f>
        <v xml:space="preserve">n.a. </v>
      </c>
      <c r="AM24" s="10" t="str">
        <f>VLOOKUP(Table3[[#This Row],[Marker Name / Summenformel]],PhysChem_Table[],26,FALSE)</f>
        <v>n.a.</v>
      </c>
      <c r="AN24" s="10" t="str">
        <f>VLOOKUP(Table3[[#This Row],[Marker Name / Summenformel]],PhysChem_Table[],27,FALSE)</f>
        <v>n.a.</v>
      </c>
      <c r="AO24" s="10" t="str">
        <f>VLOOKUP(Table3[[#This Row],[Marker Name / Summenformel]],PhysChem_Table[],28,FALSE)</f>
        <v>n.a.</v>
      </c>
      <c r="AP24" s="10" t="str">
        <f>VLOOKUP(Table3[[#This Row],[Marker Name / Summenformel]],PhysChem_Table[],29,FALSE)</f>
        <v>n.a.</v>
      </c>
      <c r="AQ24" s="10" t="str">
        <f>VLOOKUP(Table3[[#This Row],[Marker Name / Summenformel]],PhysChem_Table[],30,FALSE)</f>
        <v>n.a.</v>
      </c>
      <c r="AR24" s="10" t="str">
        <f>VLOOKUP(Table3[[#This Row],[Marker Name / Summenformel]],PhysChem_Table[],31,FALSE)</f>
        <v>n.a.</v>
      </c>
      <c r="AS24" s="10" t="str">
        <f>VLOOKUP(Table3[[#This Row],[Marker Name / Summenformel]],PhysChem_Table[],32,FALSE)</f>
        <v>n.a.</v>
      </c>
      <c r="AT24" s="10" t="str">
        <f>VLOOKUP(Table3[[#This Row],[Marker Name / Summenformel]],PhysChem_Table[],33,FALSE)</f>
        <v>n.a.</v>
      </c>
      <c r="AU24" s="10" t="str">
        <f>VLOOKUP(Table3[[#This Row],[Marker Name / Summenformel]],PhysChem_Table[],34,FALSE)</f>
        <v>https://www.sigmaaldrich.com/AT/en/sds/aldrich/425311</v>
      </c>
      <c r="AV24" s="10">
        <f>VLOOKUP(Table3[[#This Row],[Marker Name / Summenformel]],PhysChem_Table[],35,FALSE)</f>
        <v>0</v>
      </c>
    </row>
    <row r="25" spans="1:48" x14ac:dyDescent="0.3">
      <c r="A25" s="10" t="s">
        <v>267</v>
      </c>
      <c r="B25" s="10" t="str">
        <f>VLOOKUP(Table3[[#This Row],[Marker Name / Summenformel]],BaseInfos_Table[],2,FALSE)</f>
        <v>heptamethine cyanine dyes</v>
      </c>
      <c r="C25" s="10" t="str">
        <f>VLOOKUP(Table3[[#This Row],[Marker Name / Summenformel]],BaseInfos_Table[],3,FALSE)</f>
        <v>115970-66-6</v>
      </c>
      <c r="D25" s="10" t="str">
        <f>VLOOKUP(Table3[[#This Row],[Marker Name / Summenformel]],BaseInfos_Table[],4,FALSE)</f>
        <v>812-288-2</v>
      </c>
      <c r="E25" s="10" t="str">
        <f>VLOOKUP(Table3[[#This Row],[Marker Name / Summenformel]],BaseInfos_Table[],5,FALSE)</f>
        <v>Deng et al. 2018 / Theranostics</v>
      </c>
      <c r="F25" s="10" t="str">
        <f>VLOOKUP(Table3[[#This Row],[Marker Name / Summenformel]],BaseInfos_Table[],6,FALSE)</f>
        <v>IR</v>
      </c>
      <c r="G25" s="10" t="str">
        <f>VLOOKUP(Table3[[#This Row],[Marker Name / Summenformel]],BaseInfos_Table[],7,FALSE)</f>
        <v>Y</v>
      </c>
      <c r="H25" s="10" t="str">
        <f>VLOOKUP(Table3[[#This Row],[Marker Name / Summenformel]],BaseInfos_Table[],8,FALSE)</f>
        <v>n.a.</v>
      </c>
      <c r="I25" s="10" t="str">
        <f>VLOOKUP(Table3[[#This Row],[Marker Name / Summenformel]],BaseInfos_Table[],9,FALSE)</f>
        <v>https://echa.europa.eu/de/substance-information/-/substanceinfo/100.243.235</v>
      </c>
      <c r="J25" s="10" t="str">
        <f>VLOOKUP(Table3[[#This Row],[Marker Name / Summenformel]],BaseInfos_Table[],10,FALSE)</f>
        <v>https://www.sigmaaldrich.com/AT/en/product/aldrich/543292</v>
      </c>
      <c r="K25" s="10">
        <f>VLOOKUP(Table3[[#This Row],[Marker Name / Summenformel]],BaseInfos_Table[],11,FALSE)</f>
        <v>0</v>
      </c>
      <c r="L25" s="10" t="str">
        <f>VLOOKUP(Table3[[#This Row],[Marker Name / Summenformel]],GHS_Table[#All],3,FALSE)</f>
        <v>CLP</v>
      </c>
      <c r="M25" s="10" t="str">
        <f>VLOOKUP(Table3[[#This Row],[Marker Name / Summenformel]],GHS_Table[#All],4,FALSE)</f>
        <v>n.a.</v>
      </c>
      <c r="N25" s="10">
        <f>VLOOKUP(Table3[[#This Row],[Marker Name / Summenformel]],GHS_Table[#All],5,FALSE)</f>
        <v>3</v>
      </c>
      <c r="O25" s="10">
        <f>VLOOKUP(Table3[[#This Row],[Marker Name / Summenformel]],GHS_Table[#All],6,FALSE)</f>
        <v>0</v>
      </c>
      <c r="P25" s="10" t="str">
        <f>VLOOKUP(Table3[[#This Row],[Marker Name / Summenformel]],PhysChem_Table[],3,FALSE)</f>
        <v>solid: crystalline</v>
      </c>
      <c r="Q25" s="10" t="str">
        <f>VLOOKUP(Table3[[#This Row],[Marker Name / Summenformel]],PhysChem_Table[],4,FALSE)</f>
        <v>red brown</v>
      </c>
      <c r="R25" s="10">
        <f>VLOOKUP(Table3[[#This Row],[Marker Name / Summenformel]],PhysChem_Table[],5,FALSE)</f>
        <v>209</v>
      </c>
      <c r="S25" s="10" t="str">
        <f>VLOOKUP(Table3[[#This Row],[Marker Name / Summenformel]],PhysChem_Table[],6,FALSE)</f>
        <v>n.s.</v>
      </c>
      <c r="T25" s="10" t="str">
        <f>VLOOKUP(Table3[[#This Row],[Marker Name / Summenformel]],PhysChem_Table[],7,FALSE)</f>
        <v>n.a.</v>
      </c>
      <c r="U25" s="10" t="str">
        <f>VLOOKUP(Table3[[#This Row],[Marker Name / Summenformel]],PhysChem_Table[],8,FALSE)</f>
        <v>n.a.</v>
      </c>
      <c r="V25" s="10" t="str">
        <f>VLOOKUP(Table3[[#This Row],[Marker Name / Summenformel]],PhysChem_Table[],9,FALSE)</f>
        <v>n.a.</v>
      </c>
      <c r="W25" s="10" t="str">
        <f>VLOOKUP(Table3[[#This Row],[Marker Name / Summenformel]],PhysChem_Table[],10,FALSE)</f>
        <v>n.a.</v>
      </c>
      <c r="X25" s="10" t="str">
        <f>VLOOKUP(Table3[[#This Row],[Marker Name / Summenformel]],PhysChem_Table[],11,FALSE)</f>
        <v>n.a.</v>
      </c>
      <c r="Y25" s="10" t="str">
        <f>VLOOKUP(Table3[[#This Row],[Marker Name / Summenformel]],PhysChem_Table[],12,FALSE)</f>
        <v>n.a.</v>
      </c>
      <c r="Z25" s="10" t="str">
        <f>VLOOKUP(Table3[[#This Row],[Marker Name / Summenformel]],PhysChem_Table[],13,FALSE)</f>
        <v>n.a.</v>
      </c>
      <c r="AA25" s="10" t="str">
        <f>VLOOKUP(Table3[[#This Row],[Marker Name / Summenformel]],PhysChem_Table[],14,FALSE)</f>
        <v>n.a.</v>
      </c>
      <c r="AB25" s="10" t="str">
        <f>VLOOKUP(Table3[[#This Row],[Marker Name / Summenformel]],PhysChem_Table[],15,FALSE)</f>
        <v>n.a.</v>
      </c>
      <c r="AC25" s="10" t="str">
        <f>VLOOKUP(Table3[[#This Row],[Marker Name / Summenformel]],PhysChem_Table[],16,FALSE)</f>
        <v>n.a.</v>
      </c>
      <c r="AD25" s="10" t="str">
        <f>VLOOKUP(Table3[[#This Row],[Marker Name / Summenformel]],PhysChem_Table[],17,FALSE)</f>
        <v>n.a.</v>
      </c>
      <c r="AE25" s="10" t="str">
        <f>VLOOKUP(Table3[[#This Row],[Marker Name / Summenformel]],PhysChem_Table[],18,FALSE)</f>
        <v>n.a.</v>
      </c>
      <c r="AF25" s="10" t="str">
        <f>VLOOKUP(Table3[[#This Row],[Marker Name / Summenformel]],PhysChem_Table[],19,FALSE)</f>
        <v>n.a.</v>
      </c>
      <c r="AG25" s="10" t="str">
        <f>VLOOKUP(Table3[[#This Row],[Marker Name / Summenformel]],PhysChem_Table[],20,FALSE)</f>
        <v>n.a.</v>
      </c>
      <c r="AH25" s="10" t="str">
        <f>VLOOKUP(Table3[[#This Row],[Marker Name / Summenformel]],PhysChem_Table[],21,FALSE)</f>
        <v>n.a.</v>
      </c>
      <c r="AI25" s="10" t="str">
        <f>VLOOKUP(Table3[[#This Row],[Marker Name / Summenformel]],PhysChem_Table[],22,FALSE)</f>
        <v>n.a.</v>
      </c>
      <c r="AJ25" s="10" t="str">
        <f>VLOOKUP(Table3[[#This Row],[Marker Name / Summenformel]],PhysChem_Table[],23,FALSE)</f>
        <v>n.a.</v>
      </c>
      <c r="AK25" s="10" t="str">
        <f>VLOOKUP(Table3[[#This Row],[Marker Name / Summenformel]],PhysChem_Table[],24,FALSE)</f>
        <v>n.a.</v>
      </c>
      <c r="AL25" s="10" t="str">
        <f>VLOOKUP(Table3[[#This Row],[Marker Name / Summenformel]],PhysChem_Table[],25,FALSE)</f>
        <v xml:space="preserve">n.a. </v>
      </c>
      <c r="AM25" s="10" t="str">
        <f>VLOOKUP(Table3[[#This Row],[Marker Name / Summenformel]],PhysChem_Table[],26,FALSE)</f>
        <v>n.a.</v>
      </c>
      <c r="AN25" s="10" t="str">
        <f>VLOOKUP(Table3[[#This Row],[Marker Name / Summenformel]],PhysChem_Table[],27,FALSE)</f>
        <v>n.a.</v>
      </c>
      <c r="AO25" s="10" t="str">
        <f>VLOOKUP(Table3[[#This Row],[Marker Name / Summenformel]],PhysChem_Table[],28,FALSE)</f>
        <v>n.a.</v>
      </c>
      <c r="AP25" s="10" t="str">
        <f>VLOOKUP(Table3[[#This Row],[Marker Name / Summenformel]],PhysChem_Table[],29,FALSE)</f>
        <v>n.a.</v>
      </c>
      <c r="AQ25" s="10" t="str">
        <f>VLOOKUP(Table3[[#This Row],[Marker Name / Summenformel]],PhysChem_Table[],30,FALSE)</f>
        <v>n.a.</v>
      </c>
      <c r="AR25" s="10" t="str">
        <f>VLOOKUP(Table3[[#This Row],[Marker Name / Summenformel]],PhysChem_Table[],31,FALSE)</f>
        <v>n.a.</v>
      </c>
      <c r="AS25" s="10" t="str">
        <f>VLOOKUP(Table3[[#This Row],[Marker Name / Summenformel]],PhysChem_Table[],32,FALSE)</f>
        <v>n.a.</v>
      </c>
      <c r="AT25" s="10" t="str">
        <f>VLOOKUP(Table3[[#This Row],[Marker Name / Summenformel]],PhysChem_Table[],33,FALSE)</f>
        <v>n.a.</v>
      </c>
      <c r="AU25" s="10" t="str">
        <f>VLOOKUP(Table3[[#This Row],[Marker Name / Summenformel]],PhysChem_Table[],34,FALSE)</f>
        <v>https://www.sigmaaldrich.com/AT/en/sds/aldrich/543292</v>
      </c>
      <c r="AV25" s="10">
        <f>VLOOKUP(Table3[[#This Row],[Marker Name / Summenformel]],PhysChem_Table[],35,FALSE)</f>
        <v>0</v>
      </c>
    </row>
    <row r="26" spans="1:48" ht="14.45" customHeight="1" x14ac:dyDescent="0.3">
      <c r="A26" s="10" t="s">
        <v>269</v>
      </c>
      <c r="B26" s="38" t="str">
        <f>VLOOKUP(Table3[[#This Row],[Marker Name / Summenformel]],BaseInfos_Table[],2,FALSE)</f>
        <v>heptamethine cyanine dyes</v>
      </c>
      <c r="C26" s="38" t="str">
        <f>VLOOKUP(Table3[[#This Row],[Marker Name / Summenformel]],BaseInfos_Table[],3,FALSE)</f>
        <v>110992-55-7</v>
      </c>
      <c r="D26" s="38" t="str">
        <f>VLOOKUP(Table3[[#This Row],[Marker Name / Summenformel]],BaseInfos_Table[],4,FALSE)</f>
        <v>812-518-1</v>
      </c>
      <c r="E26" s="38" t="str">
        <f>VLOOKUP(Table3[[#This Row],[Marker Name / Summenformel]],BaseInfos_Table[],5,FALSE)</f>
        <v>Deng et al. 2018 / Theranostics</v>
      </c>
      <c r="F26" s="38" t="str">
        <f>VLOOKUP(Table3[[#This Row],[Marker Name / Summenformel]],BaseInfos_Table[],6,FALSE)</f>
        <v>IR</v>
      </c>
      <c r="G26" s="38" t="str">
        <f>VLOOKUP(Table3[[#This Row],[Marker Name / Summenformel]],BaseInfos_Table[],7,FALSE)</f>
        <v>Y</v>
      </c>
      <c r="H26" s="38" t="str">
        <f>VLOOKUP(Table3[[#This Row],[Marker Name / Summenformel]],BaseInfos_Table[],8,FALSE)</f>
        <v>n.a.</v>
      </c>
      <c r="I26" s="38" t="str">
        <f>VLOOKUP(Table3[[#This Row],[Marker Name / Summenformel]],BaseInfos_Table[],9,FALSE)</f>
        <v>https://echa.europa.eu/de/substance-information/-/substanceinfo/100.243.546</v>
      </c>
      <c r="J26" s="38" t="str">
        <f>VLOOKUP(Table3[[#This Row],[Marker Name / Summenformel]],BaseInfos_Table[],10,FALSE)</f>
        <v>https://www.sigmaaldrich.com/AT/en/product/aldrich/642339</v>
      </c>
      <c r="K26" s="38">
        <f>VLOOKUP(Table3[[#This Row],[Marker Name / Summenformel]],BaseInfos_Table[],11,FALSE)</f>
        <v>0</v>
      </c>
      <c r="L26" s="10" t="str">
        <f>VLOOKUP(Table3[[#This Row],[Marker Name / Summenformel]],GHS_Table[#All],3,FALSE)</f>
        <v>CLP</v>
      </c>
      <c r="M26" s="10" t="str">
        <f>VLOOKUP(Table3[[#This Row],[Marker Name / Summenformel]],GHS_Table[#All],4,FALSE)</f>
        <v>n.a.</v>
      </c>
      <c r="N26" s="10">
        <f>VLOOKUP(Table3[[#This Row],[Marker Name / Summenformel]],GHS_Table[#All],5,FALSE)</f>
        <v>0</v>
      </c>
      <c r="O26" s="10">
        <f>VLOOKUP(Table3[[#This Row],[Marker Name / Summenformel]],GHS_Table[#All],6,FALSE)</f>
        <v>0</v>
      </c>
      <c r="P26" s="38" t="str">
        <f>VLOOKUP(Table3[[#This Row],[Marker Name / Summenformel]],PhysChem_Table[],3,FALSE)</f>
        <v>solid: crystaline</v>
      </c>
      <c r="Q26" s="38" t="str">
        <f>VLOOKUP(Table3[[#This Row],[Marker Name / Summenformel]],PhysChem_Table[],4,FALSE)</f>
        <v>n.a.</v>
      </c>
      <c r="R26" s="38">
        <f>VLOOKUP(Table3[[#This Row],[Marker Name / Summenformel]],PhysChem_Table[],5,FALSE)</f>
        <v>116</v>
      </c>
      <c r="S26" s="38" t="str">
        <f>VLOOKUP(Table3[[#This Row],[Marker Name / Summenformel]],PhysChem_Table[],6,FALSE)</f>
        <v>n.s.</v>
      </c>
      <c r="T26" s="38" t="str">
        <f>VLOOKUP(Table3[[#This Row],[Marker Name / Summenformel]],PhysChem_Table[],7,FALSE)</f>
        <v>n.a.</v>
      </c>
      <c r="U26" s="38" t="str">
        <f>VLOOKUP(Table3[[#This Row],[Marker Name / Summenformel]],PhysChem_Table[],8,FALSE)</f>
        <v>n.a.</v>
      </c>
      <c r="V26" s="38" t="str">
        <f>VLOOKUP(Table3[[#This Row],[Marker Name / Summenformel]],PhysChem_Table[],9,FALSE)</f>
        <v>n.a.</v>
      </c>
      <c r="W26" s="38" t="str">
        <f>VLOOKUP(Table3[[#This Row],[Marker Name / Summenformel]],PhysChem_Table[],10,FALSE)</f>
        <v>n.a.</v>
      </c>
      <c r="X26" s="38" t="str">
        <f>VLOOKUP(Table3[[#This Row],[Marker Name / Summenformel]],PhysChem_Table[],11,FALSE)</f>
        <v>n.a.</v>
      </c>
      <c r="Y26" s="38" t="str">
        <f>VLOOKUP(Table3[[#This Row],[Marker Name / Summenformel]],PhysChem_Table[],12,FALSE)</f>
        <v>n.a.</v>
      </c>
      <c r="Z26" s="38" t="str">
        <f>VLOOKUP(Table3[[#This Row],[Marker Name / Summenformel]],PhysChem_Table[],13,FALSE)</f>
        <v>n.a.</v>
      </c>
      <c r="AA26" s="38" t="str">
        <f>VLOOKUP(Table3[[#This Row],[Marker Name / Summenformel]],PhysChem_Table[],14,FALSE)</f>
        <v>n.a.</v>
      </c>
      <c r="AB26" s="38" t="str">
        <f>VLOOKUP(Table3[[#This Row],[Marker Name / Summenformel]],PhysChem_Table[],15,FALSE)</f>
        <v>n.a.</v>
      </c>
      <c r="AC26" s="38" t="str">
        <f>VLOOKUP(Table3[[#This Row],[Marker Name / Summenformel]],PhysChem_Table[],16,FALSE)</f>
        <v>n.a.</v>
      </c>
      <c r="AD26" s="38" t="str">
        <f>VLOOKUP(Table3[[#This Row],[Marker Name / Summenformel]],PhysChem_Table[],17,FALSE)</f>
        <v>n.a.</v>
      </c>
      <c r="AE26" s="38" t="str">
        <f>VLOOKUP(Table3[[#This Row],[Marker Name / Summenformel]],PhysChem_Table[],18,FALSE)</f>
        <v>n.a.</v>
      </c>
      <c r="AF26" s="38" t="str">
        <f>VLOOKUP(Table3[[#This Row],[Marker Name / Summenformel]],PhysChem_Table[],19,FALSE)</f>
        <v>n.a.</v>
      </c>
      <c r="AG26" s="38" t="str">
        <f>VLOOKUP(Table3[[#This Row],[Marker Name / Summenformel]],PhysChem_Table[],20,FALSE)</f>
        <v>n.a.</v>
      </c>
      <c r="AH26" s="38" t="str">
        <f>VLOOKUP(Table3[[#This Row],[Marker Name / Summenformel]],PhysChem_Table[],21,FALSE)</f>
        <v>n.a.</v>
      </c>
      <c r="AI26" s="38" t="str">
        <f>VLOOKUP(Table3[[#This Row],[Marker Name / Summenformel]],PhysChem_Table[],22,FALSE)</f>
        <v>n.a.</v>
      </c>
      <c r="AJ26" s="38" t="str">
        <f>VLOOKUP(Table3[[#This Row],[Marker Name / Summenformel]],PhysChem_Table[],23,FALSE)</f>
        <v>n.a.</v>
      </c>
      <c r="AK26" s="38" t="str">
        <f>VLOOKUP(Table3[[#This Row],[Marker Name / Summenformel]],PhysChem_Table[],24,FALSE)</f>
        <v>n.a.</v>
      </c>
      <c r="AL26" s="38" t="str">
        <f>VLOOKUP(Table3[[#This Row],[Marker Name / Summenformel]],PhysChem_Table[],25,FALSE)</f>
        <v xml:space="preserve">n.a. </v>
      </c>
      <c r="AM26" s="38" t="str">
        <f>VLOOKUP(Table3[[#This Row],[Marker Name / Summenformel]],PhysChem_Table[],26,FALSE)</f>
        <v>n.a.</v>
      </c>
      <c r="AN26" s="38" t="str">
        <f>VLOOKUP(Table3[[#This Row],[Marker Name / Summenformel]],PhysChem_Table[],27,FALSE)</f>
        <v>n.a.</v>
      </c>
      <c r="AO26" s="38" t="str">
        <f>VLOOKUP(Table3[[#This Row],[Marker Name / Summenformel]],PhysChem_Table[],28,FALSE)</f>
        <v>n.a.</v>
      </c>
      <c r="AP26" s="38" t="str">
        <f>VLOOKUP(Table3[[#This Row],[Marker Name / Summenformel]],PhysChem_Table[],29,FALSE)</f>
        <v>n.a.</v>
      </c>
      <c r="AQ26" s="38" t="str">
        <f>VLOOKUP(Table3[[#This Row],[Marker Name / Summenformel]],PhysChem_Table[],30,FALSE)</f>
        <v>n.a.</v>
      </c>
      <c r="AR26" s="38" t="str">
        <f>VLOOKUP(Table3[[#This Row],[Marker Name / Summenformel]],PhysChem_Table[],31,FALSE)</f>
        <v>n.a.</v>
      </c>
      <c r="AS26" s="38" t="str">
        <f>VLOOKUP(Table3[[#This Row],[Marker Name / Summenformel]],PhysChem_Table[],32,FALSE)</f>
        <v>n.a.</v>
      </c>
      <c r="AT26" s="38" t="str">
        <f>VLOOKUP(Table3[[#This Row],[Marker Name / Summenformel]],PhysChem_Table[],33,FALSE)</f>
        <v>n.a.</v>
      </c>
      <c r="AU26" s="38" t="str">
        <f>VLOOKUP(Table3[[#This Row],[Marker Name / Summenformel]],PhysChem_Table[],34,FALSE)</f>
        <v>https://www.sigmaaldrich.com/AT/en/sds/aldrich/642339</v>
      </c>
      <c r="AV26" s="10">
        <f>VLOOKUP(Table3[[#This Row],[Marker Name / Summenformel]],PhysChem_Table[],35,FALSE)</f>
        <v>0</v>
      </c>
    </row>
    <row r="27" spans="1:48" x14ac:dyDescent="0.3">
      <c r="A27" s="10" t="s">
        <v>272</v>
      </c>
      <c r="B27" s="10" t="str">
        <f>VLOOKUP(Table3[[#This Row],[Marker Name / Summenformel]],BaseInfos_Table[],2,FALSE)</f>
        <v>heptamethine cyanine dyes</v>
      </c>
      <c r="C27" s="10" t="str">
        <f>VLOOKUP(Table3[[#This Row],[Marker Name / Summenformel]],BaseInfos_Table[],3,FALSE)</f>
        <v>757960-10-4</v>
      </c>
      <c r="D27" s="10" t="str">
        <f>VLOOKUP(Table3[[#This Row],[Marker Name / Summenformel]],BaseInfos_Table[],4,FALSE)</f>
        <v>812-326-8</v>
      </c>
      <c r="E27" s="10" t="str">
        <f>VLOOKUP(Table3[[#This Row],[Marker Name / Summenformel]],BaseInfos_Table[],5,FALSE)</f>
        <v>Deng et al. 2018 / Theranostics</v>
      </c>
      <c r="F27" s="10" t="str">
        <f>VLOOKUP(Table3[[#This Row],[Marker Name / Summenformel]],BaseInfos_Table[],6,FALSE)</f>
        <v>IR</v>
      </c>
      <c r="G27" s="10" t="str">
        <f>VLOOKUP(Table3[[#This Row],[Marker Name / Summenformel]],BaseInfos_Table[],7,FALSE)</f>
        <v>Y</v>
      </c>
      <c r="H27" s="10" t="str">
        <f>VLOOKUP(Table3[[#This Row],[Marker Name / Summenformel]],BaseInfos_Table[],8,FALSE)</f>
        <v>n.a.</v>
      </c>
      <c r="I27" s="10" t="str">
        <f>VLOOKUP(Table3[[#This Row],[Marker Name / Summenformel]],BaseInfos_Table[],9,FALSE)</f>
        <v>https://echa.europa.eu/de/substance-information/-/substanceinfo/100.243.277</v>
      </c>
      <c r="J27" s="10" t="str">
        <f>VLOOKUP(Table3[[#This Row],[Marker Name / Summenformel]],BaseInfos_Table[],10,FALSE)</f>
        <v>https://www.sigmaaldrich.com/AT/en/product/aldrich/543349</v>
      </c>
      <c r="K27" s="10">
        <f>VLOOKUP(Table3[[#This Row],[Marker Name / Summenformel]],BaseInfos_Table[],11,FALSE)</f>
        <v>0</v>
      </c>
      <c r="L27" s="10" t="str">
        <f>VLOOKUP(Table3[[#This Row],[Marker Name / Summenformel]],GHS_Table[#All],3,FALSE)</f>
        <v>n.a.</v>
      </c>
      <c r="M27" s="10" t="str">
        <f>VLOOKUP(Table3[[#This Row],[Marker Name / Summenformel]],GHS_Table[#All],4,FALSE)</f>
        <v>n.a.</v>
      </c>
      <c r="N27" s="10" t="str">
        <f>VLOOKUP(Table3[[#This Row],[Marker Name / Summenformel]],GHS_Table[#All],5,FALSE)</f>
        <v>n.a.</v>
      </c>
      <c r="O27" s="10" t="str">
        <f>VLOOKUP(Table3[[#This Row],[Marker Name / Summenformel]],GHS_Table[#All],6,FALSE)</f>
        <v>n.a.</v>
      </c>
      <c r="P27" s="10" t="str">
        <f>VLOOKUP(Table3[[#This Row],[Marker Name / Summenformel]],PhysChem_Table[],3,FALSE)</f>
        <v>n.a.</v>
      </c>
      <c r="Q27" s="10" t="str">
        <f>VLOOKUP(Table3[[#This Row],[Marker Name / Summenformel]],PhysChem_Table[],4,FALSE)</f>
        <v>n.a.</v>
      </c>
      <c r="R27" s="10" t="str">
        <f>VLOOKUP(Table3[[#This Row],[Marker Name / Summenformel]],PhysChem_Table[],5,FALSE)</f>
        <v>n.a.</v>
      </c>
      <c r="S27" s="10" t="str">
        <f>VLOOKUP(Table3[[#This Row],[Marker Name / Summenformel]],PhysChem_Table[],6,FALSE)</f>
        <v>n.a.</v>
      </c>
      <c r="T27" s="10" t="str">
        <f>VLOOKUP(Table3[[#This Row],[Marker Name / Summenformel]],PhysChem_Table[],7,FALSE)</f>
        <v>n.a.</v>
      </c>
      <c r="U27" s="10" t="str">
        <f>VLOOKUP(Table3[[#This Row],[Marker Name / Summenformel]],PhysChem_Table[],8,FALSE)</f>
        <v>n.a.</v>
      </c>
      <c r="V27" s="10" t="str">
        <f>VLOOKUP(Table3[[#This Row],[Marker Name / Summenformel]],PhysChem_Table[],9,FALSE)</f>
        <v>n.a.</v>
      </c>
      <c r="W27" s="10" t="str">
        <f>VLOOKUP(Table3[[#This Row],[Marker Name / Summenformel]],PhysChem_Table[],10,FALSE)</f>
        <v>n.a.</v>
      </c>
      <c r="X27" s="10" t="str">
        <f>VLOOKUP(Table3[[#This Row],[Marker Name / Summenformel]],PhysChem_Table[],11,FALSE)</f>
        <v>n.a.</v>
      </c>
      <c r="Y27" s="10" t="str">
        <f>VLOOKUP(Table3[[#This Row],[Marker Name / Summenformel]],PhysChem_Table[],12,FALSE)</f>
        <v>n.a.</v>
      </c>
      <c r="Z27" s="10" t="str">
        <f>VLOOKUP(Table3[[#This Row],[Marker Name / Summenformel]],PhysChem_Table[],13,FALSE)</f>
        <v>n.a.</v>
      </c>
      <c r="AA27" s="10" t="str">
        <f>VLOOKUP(Table3[[#This Row],[Marker Name / Summenformel]],PhysChem_Table[],14,FALSE)</f>
        <v>n.a.</v>
      </c>
      <c r="AB27" s="10" t="str">
        <f>VLOOKUP(Table3[[#This Row],[Marker Name / Summenformel]],PhysChem_Table[],15,FALSE)</f>
        <v>n.a.</v>
      </c>
      <c r="AC27" s="10" t="str">
        <f>VLOOKUP(Table3[[#This Row],[Marker Name / Summenformel]],PhysChem_Table[],16,FALSE)</f>
        <v>n.a.</v>
      </c>
      <c r="AD27" s="10" t="str">
        <f>VLOOKUP(Table3[[#This Row],[Marker Name / Summenformel]],PhysChem_Table[],17,FALSE)</f>
        <v>n.a.</v>
      </c>
      <c r="AE27" s="10" t="str">
        <f>VLOOKUP(Table3[[#This Row],[Marker Name / Summenformel]],PhysChem_Table[],18,FALSE)</f>
        <v>n.a.</v>
      </c>
      <c r="AF27" s="10" t="str">
        <f>VLOOKUP(Table3[[#This Row],[Marker Name / Summenformel]],PhysChem_Table[],19,FALSE)</f>
        <v>n.a.</v>
      </c>
      <c r="AG27" s="10" t="str">
        <f>VLOOKUP(Table3[[#This Row],[Marker Name / Summenformel]],PhysChem_Table[],20,FALSE)</f>
        <v>n.a.</v>
      </c>
      <c r="AH27" s="10" t="str">
        <f>VLOOKUP(Table3[[#This Row],[Marker Name / Summenformel]],PhysChem_Table[],21,FALSE)</f>
        <v>n.a.</v>
      </c>
      <c r="AI27" s="10" t="str">
        <f>VLOOKUP(Table3[[#This Row],[Marker Name / Summenformel]],PhysChem_Table[],22,FALSE)</f>
        <v>n.a.</v>
      </c>
      <c r="AJ27" s="10" t="str">
        <f>VLOOKUP(Table3[[#This Row],[Marker Name / Summenformel]],PhysChem_Table[],23,FALSE)</f>
        <v>n.a.</v>
      </c>
      <c r="AK27" s="10" t="str">
        <f>VLOOKUP(Table3[[#This Row],[Marker Name / Summenformel]],PhysChem_Table[],24,FALSE)</f>
        <v>n.a.</v>
      </c>
      <c r="AL27" s="10" t="str">
        <f>VLOOKUP(Table3[[#This Row],[Marker Name / Summenformel]],PhysChem_Table[],25,FALSE)</f>
        <v xml:space="preserve">n.a. </v>
      </c>
      <c r="AM27" s="10" t="str">
        <f>VLOOKUP(Table3[[#This Row],[Marker Name / Summenformel]],PhysChem_Table[],26,FALSE)</f>
        <v>n.a.</v>
      </c>
      <c r="AN27" s="10" t="str">
        <f>VLOOKUP(Table3[[#This Row],[Marker Name / Summenformel]],PhysChem_Table[],27,FALSE)</f>
        <v>n.a.</v>
      </c>
      <c r="AO27" s="10" t="str">
        <f>VLOOKUP(Table3[[#This Row],[Marker Name / Summenformel]],PhysChem_Table[],28,FALSE)</f>
        <v>n.a.</v>
      </c>
      <c r="AP27" s="10" t="str">
        <f>VLOOKUP(Table3[[#This Row],[Marker Name / Summenformel]],PhysChem_Table[],29,FALSE)</f>
        <v>n.a.</v>
      </c>
      <c r="AQ27" s="10" t="str">
        <f>VLOOKUP(Table3[[#This Row],[Marker Name / Summenformel]],PhysChem_Table[],30,FALSE)</f>
        <v>n.a.</v>
      </c>
      <c r="AR27" s="10" t="str">
        <f>VLOOKUP(Table3[[#This Row],[Marker Name / Summenformel]],PhysChem_Table[],31,FALSE)</f>
        <v>n.a.</v>
      </c>
      <c r="AS27" s="10" t="str">
        <f>VLOOKUP(Table3[[#This Row],[Marker Name / Summenformel]],PhysChem_Table[],32,FALSE)</f>
        <v>n.a.</v>
      </c>
      <c r="AT27" s="10" t="str">
        <f>VLOOKUP(Table3[[#This Row],[Marker Name / Summenformel]],PhysChem_Table[],33,FALSE)</f>
        <v>n.a.</v>
      </c>
      <c r="AU27" s="10" t="str">
        <f>VLOOKUP(Table3[[#This Row],[Marker Name / Summenformel]],PhysChem_Table[],34,FALSE)</f>
        <v>n.a.</v>
      </c>
      <c r="AV27" s="10">
        <f>VLOOKUP(Table3[[#This Row],[Marker Name / Summenformel]],PhysChem_Table[],35,FALSE)</f>
        <v>0</v>
      </c>
    </row>
    <row r="28" spans="1:48" ht="14.45" customHeight="1" x14ac:dyDescent="0.3">
      <c r="A28" s="10" t="s">
        <v>280</v>
      </c>
      <c r="B28" s="38" t="str">
        <f>VLOOKUP(Table3[[#This Row],[Marker Name / Summenformel]],BaseInfos_Table[],2,FALSE)</f>
        <v>quantum dots</v>
      </c>
      <c r="C28" s="38" t="str">
        <f>VLOOKUP(Table3[[#This Row],[Marker Name / Summenformel]],BaseInfos_Table[],3,FALSE)</f>
        <v>1306-25-8</v>
      </c>
      <c r="D28" s="38" t="str">
        <f>VLOOKUP(Table3[[#This Row],[Marker Name / Summenformel]],BaseInfos_Table[],4,FALSE)</f>
        <v>215-149-9</v>
      </c>
      <c r="E28" s="38" t="str">
        <f>VLOOKUP(Table3[[#This Row],[Marker Name / Summenformel]],BaseInfos_Table[],5,FALSE)</f>
        <v>Ma et al., 2010 / The royal society of chemistry</v>
      </c>
      <c r="F28" s="38" t="str">
        <f>VLOOKUP(Table3[[#This Row],[Marker Name / Summenformel]],BaseInfos_Table[],6,FALSE)</f>
        <v>IR</v>
      </c>
      <c r="G28" s="38" t="str">
        <f>VLOOKUP(Table3[[#This Row],[Marker Name / Summenformel]],BaseInfos_Table[],7,FALSE)</f>
        <v>Y</v>
      </c>
      <c r="H28" s="38">
        <f>VLOOKUP(Table3[[#This Row],[Marker Name / Summenformel]],BaseInfos_Table[],8,FALSE)</f>
        <v>100</v>
      </c>
      <c r="I28" s="38" t="str">
        <f>VLOOKUP(Table3[[#This Row],[Marker Name / Summenformel]],BaseInfos_Table[],9,FALSE)</f>
        <v>https://echa.europa.eu/de/substance-information/-/substanceinfo/100.013.773</v>
      </c>
      <c r="J28" s="38" t="str">
        <f>VLOOKUP(Table3[[#This Row],[Marker Name / Summenformel]],BaseInfos_Table[],10,FALSE)</f>
        <v>https://www.sigmaaldrich.com/AT/en/product/aldrich/777978</v>
      </c>
      <c r="K28" s="38">
        <f>VLOOKUP(Table3[[#This Row],[Marker Name / Summenformel]],BaseInfos_Table[],11,FALSE)</f>
        <v>0</v>
      </c>
      <c r="L28" s="10" t="str">
        <f>VLOOKUP(Table3[[#This Row],[Marker Name / Summenformel]],GHS_Table[#All],3,FALSE)</f>
        <v>REACH</v>
      </c>
      <c r="M28" s="10">
        <f>VLOOKUP(Table3[[#This Row],[Marker Name / Summenformel]],GHS_Table[#All],4,FALSE)</f>
        <v>1</v>
      </c>
      <c r="N28" s="10">
        <f>VLOOKUP(Table3[[#This Row],[Marker Name / Summenformel]],GHS_Table[#All],5,FALSE)</f>
        <v>8</v>
      </c>
      <c r="O28" s="10">
        <f>VLOOKUP(Table3[[#This Row],[Marker Name / Summenformel]],GHS_Table[#All],6,FALSE)</f>
        <v>6</v>
      </c>
      <c r="P28" s="38" t="str">
        <f>VLOOKUP(Table3[[#This Row],[Marker Name / Summenformel]],PhysChem_Table[],3,FALSE)</f>
        <v>solid: powder</v>
      </c>
      <c r="Q28" s="38" t="str">
        <f>VLOOKUP(Table3[[#This Row],[Marker Name / Summenformel]],PhysChem_Table[],4,FALSE)</f>
        <v>black</v>
      </c>
      <c r="R28" s="38">
        <f>VLOOKUP(Table3[[#This Row],[Marker Name / Summenformel]],PhysChem_Table[],5,FALSE)</f>
        <v>1042</v>
      </c>
      <c r="S28" s="38">
        <f>VLOOKUP(Table3[[#This Row],[Marker Name / Summenformel]],PhysChem_Table[],6,FALSE)</f>
        <v>101.325</v>
      </c>
      <c r="T28" s="38" t="str">
        <f>VLOOKUP(Table3[[#This Row],[Marker Name / Summenformel]],PhysChem_Table[],7,FALSE)</f>
        <v>n.r.</v>
      </c>
      <c r="U28" s="38" t="str">
        <f>VLOOKUP(Table3[[#This Row],[Marker Name / Summenformel]],PhysChem_Table[],8,FALSE)</f>
        <v>n.r.</v>
      </c>
      <c r="V28" s="38">
        <f>VLOOKUP(Table3[[#This Row],[Marker Name / Summenformel]],PhysChem_Table[],9,FALSE)</f>
        <v>5.83</v>
      </c>
      <c r="W28" s="38">
        <f>VLOOKUP(Table3[[#This Row],[Marker Name / Summenformel]],PhysChem_Table[],10,FALSE)</f>
        <v>20</v>
      </c>
      <c r="X28" s="38" t="str">
        <f>VLOOKUP(Table3[[#This Row],[Marker Name / Summenformel]],PhysChem_Table[],11,FALSE)</f>
        <v>145. 67 um</v>
      </c>
      <c r="Y28" s="38" t="str">
        <f>VLOOKUP(Table3[[#This Row],[Marker Name / Summenformel]],PhysChem_Table[],12,FALSE)</f>
        <v>n.r.</v>
      </c>
      <c r="Z28" s="38" t="str">
        <f>VLOOKUP(Table3[[#This Row],[Marker Name / Summenformel]],PhysChem_Table[],13,FALSE)</f>
        <v>n.r.</v>
      </c>
      <c r="AA28" s="38" t="str">
        <f>VLOOKUP(Table3[[#This Row],[Marker Name / Summenformel]],PhysChem_Table[],14,FALSE)</f>
        <v>n.r.</v>
      </c>
      <c r="AB28" s="38" t="str">
        <f>VLOOKUP(Table3[[#This Row],[Marker Name / Summenformel]],PhysChem_Table[],15,FALSE)</f>
        <v>n.r.</v>
      </c>
      <c r="AC28" s="38">
        <f>VLOOKUP(Table3[[#This Row],[Marker Name / Summenformel]],PhysChem_Table[],16,FALSE)</f>
        <v>1.9000000000000001E-5</v>
      </c>
      <c r="AD28" s="38">
        <f>VLOOKUP(Table3[[#This Row],[Marker Name / Summenformel]],PhysChem_Table[],17,FALSE)</f>
        <v>22</v>
      </c>
      <c r="AE28" s="38" t="str">
        <f>VLOOKUP(Table3[[#This Row],[Marker Name / Summenformel]],PhysChem_Table[],18,FALSE)</f>
        <v>n.a.</v>
      </c>
      <c r="AF28" s="38" t="str">
        <f>VLOOKUP(Table3[[#This Row],[Marker Name / Summenformel]],PhysChem_Table[],19,FALSE)</f>
        <v>n.a.</v>
      </c>
      <c r="AG28" s="38" t="str">
        <f>VLOOKUP(Table3[[#This Row],[Marker Name / Summenformel]],PhysChem_Table[],20,FALSE)</f>
        <v>n.a.</v>
      </c>
      <c r="AH28" s="38" t="str">
        <f>VLOOKUP(Table3[[#This Row],[Marker Name / Summenformel]],PhysChem_Table[],21,FALSE)</f>
        <v>n.r.</v>
      </c>
      <c r="AI28" s="38" t="str">
        <f>VLOOKUP(Table3[[#This Row],[Marker Name / Summenformel]],PhysChem_Table[],22,FALSE)</f>
        <v>n.r.</v>
      </c>
      <c r="AJ28" s="38" t="str">
        <f>VLOOKUP(Table3[[#This Row],[Marker Name / Summenformel]],PhysChem_Table[],23,FALSE)</f>
        <v>n.r.</v>
      </c>
      <c r="AK28" s="38" t="str">
        <f>VLOOKUP(Table3[[#This Row],[Marker Name / Summenformel]],PhysChem_Table[],24,FALSE)</f>
        <v>N</v>
      </c>
      <c r="AL28" s="38" t="str">
        <f>VLOOKUP(Table3[[#This Row],[Marker Name / Summenformel]],PhysChem_Table[],25,FALSE)</f>
        <v>no flammability</v>
      </c>
      <c r="AM28" s="38" t="str">
        <f>VLOOKUP(Table3[[#This Row],[Marker Name / Summenformel]],PhysChem_Table[],26,FALSE)</f>
        <v>n.r.</v>
      </c>
      <c r="AN28" s="38" t="str">
        <f>VLOOKUP(Table3[[#This Row],[Marker Name / Summenformel]],PhysChem_Table[],27,FALSE)</f>
        <v>n.r.</v>
      </c>
      <c r="AO28" s="38" t="str">
        <f>VLOOKUP(Table3[[#This Row],[Marker Name / Summenformel]],PhysChem_Table[],28,FALSE)</f>
        <v>n.r.</v>
      </c>
      <c r="AP28" s="38" t="str">
        <f>VLOOKUP(Table3[[#This Row],[Marker Name / Summenformel]],PhysChem_Table[],29,FALSE)</f>
        <v>n.a.</v>
      </c>
      <c r="AQ28" s="38" t="str">
        <f>VLOOKUP(Table3[[#This Row],[Marker Name / Summenformel]],PhysChem_Table[],30,FALSE)</f>
        <v>n.a.</v>
      </c>
      <c r="AR28" s="38" t="str">
        <f>VLOOKUP(Table3[[#This Row],[Marker Name / Summenformel]],PhysChem_Table[],31,FALSE)</f>
        <v>n.a.</v>
      </c>
      <c r="AS28" s="38" t="str">
        <f>VLOOKUP(Table3[[#This Row],[Marker Name / Summenformel]],PhysChem_Table[],32,FALSE)</f>
        <v>n.r.</v>
      </c>
      <c r="AT28" s="38" t="str">
        <f>VLOOKUP(Table3[[#This Row],[Marker Name / Summenformel]],PhysChem_Table[],33,FALSE)</f>
        <v>n.r.</v>
      </c>
      <c r="AU28" s="38" t="str">
        <f>VLOOKUP(Table3[[#This Row],[Marker Name / Summenformel]],PhysChem_Table[],34,FALSE)</f>
        <v>https://echa.europa.eu/de/registration-dossier/-/registered-dossier/12227/4/3</v>
      </c>
      <c r="AV28" s="10">
        <f>VLOOKUP(Table3[[#This Row],[Marker Name / Summenformel]],PhysChem_Table[],35,FALSE)</f>
        <v>0</v>
      </c>
    </row>
    <row r="29" spans="1:48" ht="14.45" customHeight="1" x14ac:dyDescent="0.3">
      <c r="A29" s="10" t="s">
        <v>281</v>
      </c>
      <c r="B29" s="38" t="str">
        <f>VLOOKUP(Table3[[#This Row],[Marker Name / Summenformel]],BaseInfos_Table[],2,FALSE)</f>
        <v>quantum dots</v>
      </c>
      <c r="C29" s="38" t="str">
        <f>VLOOKUP(Table3[[#This Row],[Marker Name / Summenformel]],BaseInfos_Table[],3,FALSE)</f>
        <v>1314-87-0</v>
      </c>
      <c r="D29" s="38" t="str">
        <f>VLOOKUP(Table3[[#This Row],[Marker Name / Summenformel]],BaseInfos_Table[],4,FALSE)</f>
        <v>215-246-6</v>
      </c>
      <c r="E29" s="38" t="str">
        <f>VLOOKUP(Table3[[#This Row],[Marker Name / Summenformel]],BaseInfos_Table[],5,FALSE)</f>
        <v>Ma et al., 2010 / The royal society of chemistry</v>
      </c>
      <c r="F29" s="38" t="str">
        <f>VLOOKUP(Table3[[#This Row],[Marker Name / Summenformel]],BaseInfos_Table[],6,FALSE)</f>
        <v>IR</v>
      </c>
      <c r="G29" s="38" t="str">
        <f>VLOOKUP(Table3[[#This Row],[Marker Name / Summenformel]],BaseInfos_Table[],7,FALSE)</f>
        <v>Y</v>
      </c>
      <c r="H29" s="38" t="str">
        <f>VLOOKUP(Table3[[#This Row],[Marker Name / Summenformel]],BaseInfos_Table[],8,FALSE)</f>
        <v>cease manufacture</v>
      </c>
      <c r="I29" s="38" t="str">
        <f>VLOOKUP(Table3[[#This Row],[Marker Name / Summenformel]],BaseInfos_Table[],9,FALSE)</f>
        <v>https://echa.europa.eu/de/substance-information/-/substanceinfo/100.013.861</v>
      </c>
      <c r="J29" s="38" t="str">
        <f>VLOOKUP(Table3[[#This Row],[Marker Name / Summenformel]],BaseInfos_Table[],10,FALSE)</f>
        <v>https://www.sigmaaldrich.com/AT/de/substance/pbscoretypequantumdots2392798765</v>
      </c>
      <c r="K29" s="38">
        <f>VLOOKUP(Table3[[#This Row],[Marker Name / Summenformel]],BaseInfos_Table[],11,FALSE)</f>
        <v>0</v>
      </c>
      <c r="L29" s="10" t="str">
        <f>VLOOKUP(Table3[[#This Row],[Marker Name / Summenformel]],GHS_Table[#All],3,FALSE)</f>
        <v>REACH</v>
      </c>
      <c r="M29" s="10">
        <f>VLOOKUP(Table3[[#This Row],[Marker Name / Summenformel]],GHS_Table[#All],4,FALSE)</f>
        <v>5</v>
      </c>
      <c r="N29" s="10">
        <f>VLOOKUP(Table3[[#This Row],[Marker Name / Summenformel]],GHS_Table[#All],5,FALSE)</f>
        <v>9</v>
      </c>
      <c r="O29" s="10">
        <f>VLOOKUP(Table3[[#This Row],[Marker Name / Summenformel]],GHS_Table[#All],6,FALSE)</f>
        <v>6</v>
      </c>
      <c r="P29" s="38" t="str">
        <f>VLOOKUP(Table3[[#This Row],[Marker Name / Summenformel]],PhysChem_Table[],3,FALSE)</f>
        <v>solid: nanofrom</v>
      </c>
      <c r="Q29" s="38" t="str">
        <f>VLOOKUP(Table3[[#This Row],[Marker Name / Summenformel]],PhysChem_Table[],4,FALSE)</f>
        <v>black</v>
      </c>
      <c r="R29" s="38">
        <f>VLOOKUP(Table3[[#This Row],[Marker Name / Summenformel]],PhysChem_Table[],5,FALSE)</f>
        <v>1114</v>
      </c>
      <c r="S29" s="38" t="str">
        <f>VLOOKUP(Table3[[#This Row],[Marker Name / Summenformel]],PhysChem_Table[],6,FALSE)</f>
        <v>n.s.</v>
      </c>
      <c r="T29" s="38">
        <f>VLOOKUP(Table3[[#This Row],[Marker Name / Summenformel]],PhysChem_Table[],7,FALSE)</f>
        <v>1281</v>
      </c>
      <c r="U29" s="38" t="str">
        <f>VLOOKUP(Table3[[#This Row],[Marker Name / Summenformel]],PhysChem_Table[],8,FALSE)</f>
        <v>n.s.</v>
      </c>
      <c r="V29" s="38">
        <f>VLOOKUP(Table3[[#This Row],[Marker Name / Summenformel]],PhysChem_Table[],9,FALSE)</f>
        <v>7.5</v>
      </c>
      <c r="W29" s="38">
        <f>VLOOKUP(Table3[[#This Row],[Marker Name / Summenformel]],PhysChem_Table[],10,FALSE)</f>
        <v>20</v>
      </c>
      <c r="X29" s="38" t="str">
        <f>VLOOKUP(Table3[[#This Row],[Marker Name / Summenformel]],PhysChem_Table[],11,FALSE)</f>
        <v>n.a.</v>
      </c>
      <c r="Y29" s="38" t="str">
        <f>VLOOKUP(Table3[[#This Row],[Marker Name / Summenformel]],PhysChem_Table[],12,FALSE)</f>
        <v>n.a.</v>
      </c>
      <c r="Z29" s="38" t="str">
        <f>VLOOKUP(Table3[[#This Row],[Marker Name / Summenformel]],PhysChem_Table[],13,FALSE)</f>
        <v>n.a.</v>
      </c>
      <c r="AA29" s="38" t="str">
        <f>VLOOKUP(Table3[[#This Row],[Marker Name / Summenformel]],PhysChem_Table[],14,FALSE)</f>
        <v>n.a.</v>
      </c>
      <c r="AB29" s="38" t="str">
        <f>VLOOKUP(Table3[[#This Row],[Marker Name / Summenformel]],PhysChem_Table[],15,FALSE)</f>
        <v>n.a.</v>
      </c>
      <c r="AC29" s="38">
        <f>VLOOKUP(Table3[[#This Row],[Marker Name / Summenformel]],PhysChem_Table[],16,FALSE)</f>
        <v>1E-4</v>
      </c>
      <c r="AD29" s="38" t="str">
        <f>VLOOKUP(Table3[[#This Row],[Marker Name / Summenformel]],PhysChem_Table[],17,FALSE)</f>
        <v>.s.</v>
      </c>
      <c r="AE29" s="38" t="str">
        <f>VLOOKUP(Table3[[#This Row],[Marker Name / Summenformel]],PhysChem_Table[],18,FALSE)</f>
        <v>n.a.</v>
      </c>
      <c r="AF29" s="38" t="str">
        <f>VLOOKUP(Table3[[#This Row],[Marker Name / Summenformel]],PhysChem_Table[],19,FALSE)</f>
        <v>n.a.</v>
      </c>
      <c r="AG29" s="38" t="str">
        <f>VLOOKUP(Table3[[#This Row],[Marker Name / Summenformel]],PhysChem_Table[],20,FALSE)</f>
        <v>n.a.</v>
      </c>
      <c r="AH29" s="38" t="str">
        <f>VLOOKUP(Table3[[#This Row],[Marker Name / Summenformel]],PhysChem_Table[],21,FALSE)</f>
        <v>n.a.</v>
      </c>
      <c r="AI29" s="38" t="str">
        <f>VLOOKUP(Table3[[#This Row],[Marker Name / Summenformel]],PhysChem_Table[],22,FALSE)</f>
        <v>n.a.</v>
      </c>
      <c r="AJ29" s="38" t="str">
        <f>VLOOKUP(Table3[[#This Row],[Marker Name / Summenformel]],PhysChem_Table[],23,FALSE)</f>
        <v>n.a.</v>
      </c>
      <c r="AK29" s="38" t="str">
        <f>VLOOKUP(Table3[[#This Row],[Marker Name / Summenformel]],PhysChem_Table[],24,FALSE)</f>
        <v>n.a.</v>
      </c>
      <c r="AL29" s="38" t="str">
        <f>VLOOKUP(Table3[[#This Row],[Marker Name / Summenformel]],PhysChem_Table[],25,FALSE)</f>
        <v>n.a.</v>
      </c>
      <c r="AM29" s="38" t="str">
        <f>VLOOKUP(Table3[[#This Row],[Marker Name / Summenformel]],PhysChem_Table[],26,FALSE)</f>
        <v>n.a.</v>
      </c>
      <c r="AN29" s="38" t="str">
        <f>VLOOKUP(Table3[[#This Row],[Marker Name / Summenformel]],PhysChem_Table[],27,FALSE)</f>
        <v>n.a.</v>
      </c>
      <c r="AO29" s="38" t="str">
        <f>VLOOKUP(Table3[[#This Row],[Marker Name / Summenformel]],PhysChem_Table[],28,FALSE)</f>
        <v>n.a.</v>
      </c>
      <c r="AP29" s="38" t="str">
        <f>VLOOKUP(Table3[[#This Row],[Marker Name / Summenformel]],PhysChem_Table[],29,FALSE)</f>
        <v>n.a.</v>
      </c>
      <c r="AQ29" s="38" t="str">
        <f>VLOOKUP(Table3[[#This Row],[Marker Name / Summenformel]],PhysChem_Table[],30,FALSE)</f>
        <v>n.a.</v>
      </c>
      <c r="AR29" s="38" t="str">
        <f>VLOOKUP(Table3[[#This Row],[Marker Name / Summenformel]],PhysChem_Table[],31,FALSE)</f>
        <v>n.a.</v>
      </c>
      <c r="AS29" s="38" t="str">
        <f>VLOOKUP(Table3[[#This Row],[Marker Name / Summenformel]],PhysChem_Table[],32,FALSE)</f>
        <v>n.a.</v>
      </c>
      <c r="AT29" s="38" t="str">
        <f>VLOOKUP(Table3[[#This Row],[Marker Name / Summenformel]],PhysChem_Table[],33,FALSE)</f>
        <v>n.a.</v>
      </c>
      <c r="AU29" s="38" t="str">
        <f>VLOOKUP(Table3[[#This Row],[Marker Name / Summenformel]],PhysChem_Table[],34,FALSE)</f>
        <v>https://echa.europa.eu/de/registration-dossier/-/registered-dossier/11485/4/17</v>
      </c>
      <c r="AV29" s="10" t="str">
        <f>VLOOKUP(Table3[[#This Row],[Marker Name / Summenformel]],PhysChem_Table[],35,FALSE)</f>
        <v>https://www.americanelements.com/printpdf/product/46438/sds</v>
      </c>
    </row>
    <row r="30" spans="1:48" ht="15.6" customHeight="1" x14ac:dyDescent="0.3">
      <c r="A30" s="10" t="s">
        <v>691</v>
      </c>
      <c r="B30" s="38" t="str">
        <f>VLOOKUP(Table3[[#This Row],[Marker Name / Summenformel]],BaseInfos_Table[],2,FALSE)</f>
        <v>rare earth oxide</v>
      </c>
      <c r="C30" s="38" t="str">
        <f>VLOOKUP(Table3[[#This Row],[Marker Name / Summenformel]],BaseInfos_Table[],3,FALSE)</f>
        <v>1312-81-8</v>
      </c>
      <c r="D30" s="38" t="str">
        <f>VLOOKUP(Table3[[#This Row],[Marker Name / Summenformel]],BaseInfos_Table[],4,FALSE)</f>
        <v>215-200-5</v>
      </c>
      <c r="E30" s="38" t="str">
        <f>VLOOKUP(Table3[[#This Row],[Marker Name / Summenformel]],BaseInfos_Table[],5,FALSE)</f>
        <v>Bezati et al. 2011 / Resources Conservation &amp; Recycling</v>
      </c>
      <c r="F30" s="38" t="str">
        <f>VLOOKUP(Table3[[#This Row],[Marker Name / Summenformel]],BaseInfos_Table[],6,FALSE)</f>
        <v>XRF</v>
      </c>
      <c r="G30" s="38" t="str">
        <f>VLOOKUP(Table3[[#This Row],[Marker Name / Summenformel]],BaseInfos_Table[],7,FALSE)</f>
        <v>Y</v>
      </c>
      <c r="H30" s="38">
        <f>VLOOKUP(Table3[[#This Row],[Marker Name / Summenformel]],BaseInfos_Table[],8,FALSE)</f>
        <v>1000</v>
      </c>
      <c r="I30" s="38" t="str">
        <f>VLOOKUP(Table3[[#This Row],[Marker Name / Summenformel]],BaseInfos_Table[],9,FALSE)</f>
        <v>https://echa.europa.eu/de/substance-information/-/substanceinfo/100.013.819</v>
      </c>
      <c r="J30" s="38" t="str">
        <f>VLOOKUP(Table3[[#This Row],[Marker Name / Summenformel]],BaseInfos_Table[],10,FALSE)</f>
        <v>https://www.sigmaaldrich.com/AT/en/search/1312-81-8?focus=products&amp;page=1&amp;perPage=30&amp;sort=relevance&amp;term=1312-81-8&amp;type=product</v>
      </c>
      <c r="K30" s="38">
        <f>VLOOKUP(Table3[[#This Row],[Marker Name / Summenformel]],BaseInfos_Table[],11,FALSE)</f>
        <v>0</v>
      </c>
      <c r="L30" s="10" t="str">
        <f>VLOOKUP(Table3[[#This Row],[Marker Name / Summenformel]],GHS_Table[#All],3,FALSE)</f>
        <v>REACH</v>
      </c>
      <c r="M30" s="10">
        <f>VLOOKUP(Table3[[#This Row],[Marker Name / Summenformel]],GHS_Table[#All],4,FALSE)</f>
        <v>0</v>
      </c>
      <c r="N30" s="10">
        <f>VLOOKUP(Table3[[#This Row],[Marker Name / Summenformel]],GHS_Table[#All],5,FALSE)</f>
        <v>3</v>
      </c>
      <c r="O30" s="10">
        <f>VLOOKUP(Table3[[#This Row],[Marker Name / Summenformel]],GHS_Table[#All],6,FALSE)</f>
        <v>0</v>
      </c>
      <c r="P30" s="38" t="str">
        <f>VLOOKUP(Table3[[#This Row],[Marker Name / Summenformel]],PhysChem_Table[],3,FALSE)</f>
        <v>solid: crystalline</v>
      </c>
      <c r="Q30" s="38" t="str">
        <f>VLOOKUP(Table3[[#This Row],[Marker Name / Summenformel]],PhysChem_Table[],4,FALSE)</f>
        <v>white</v>
      </c>
      <c r="R30" s="38">
        <f>VLOOKUP(Table3[[#This Row],[Marker Name / Summenformel]],PhysChem_Table[],5,FALSE)</f>
        <v>400</v>
      </c>
      <c r="S30" s="38">
        <f>VLOOKUP(Table3[[#This Row],[Marker Name / Summenformel]],PhysChem_Table[],6,FALSE)</f>
        <v>101.325</v>
      </c>
      <c r="T30" s="38">
        <f>VLOOKUP(Table3[[#This Row],[Marker Name / Summenformel]],PhysChem_Table[],7,FALSE)</f>
        <v>4200</v>
      </c>
      <c r="U30" s="38">
        <f>VLOOKUP(Table3[[#This Row],[Marker Name / Summenformel]],PhysChem_Table[],8,FALSE)</f>
        <v>101.325</v>
      </c>
      <c r="V30" s="38">
        <f>VLOOKUP(Table3[[#This Row],[Marker Name / Summenformel]],PhysChem_Table[],9,FALSE)</f>
        <v>6.51</v>
      </c>
      <c r="W30" s="38">
        <f>VLOOKUP(Table3[[#This Row],[Marker Name / Summenformel]],PhysChem_Table[],10,FALSE)</f>
        <v>20</v>
      </c>
      <c r="X30" s="38" t="str">
        <f>VLOOKUP(Table3[[#This Row],[Marker Name / Summenformel]],PhysChem_Table[],11,FALSE)</f>
        <v>24 um</v>
      </c>
      <c r="Y30" s="38" t="str">
        <f>VLOOKUP(Table3[[#This Row],[Marker Name / Summenformel]],PhysChem_Table[],12,FALSE)</f>
        <v>n.r.</v>
      </c>
      <c r="Z30" s="38" t="str">
        <f>VLOOKUP(Table3[[#This Row],[Marker Name / Summenformel]],PhysChem_Table[],13,FALSE)</f>
        <v>n.r.</v>
      </c>
      <c r="AA30" s="38" t="str">
        <f>VLOOKUP(Table3[[#This Row],[Marker Name / Summenformel]],PhysChem_Table[],14,FALSE)</f>
        <v>n.r.</v>
      </c>
      <c r="AB30" s="38" t="str">
        <f>VLOOKUP(Table3[[#This Row],[Marker Name / Summenformel]],PhysChem_Table[],15,FALSE)</f>
        <v>n.r.</v>
      </c>
      <c r="AC30" s="38">
        <f>VLOOKUP(Table3[[#This Row],[Marker Name / Summenformel]],PhysChem_Table[],16,FALSE)</f>
        <v>6.9599999999999998E-5</v>
      </c>
      <c r="AD30" s="38">
        <f>VLOOKUP(Table3[[#This Row],[Marker Name / Summenformel]],PhysChem_Table[],17,FALSE)</f>
        <v>20</v>
      </c>
      <c r="AE30" s="38" t="str">
        <f>VLOOKUP(Table3[[#This Row],[Marker Name / Summenformel]],PhysChem_Table[],18,FALSE)</f>
        <v>n.a.</v>
      </c>
      <c r="AF30" s="38" t="str">
        <f>VLOOKUP(Table3[[#This Row],[Marker Name / Summenformel]],PhysChem_Table[],19,FALSE)</f>
        <v>n.a.</v>
      </c>
      <c r="AG30" s="38" t="str">
        <f>VLOOKUP(Table3[[#This Row],[Marker Name / Summenformel]],PhysChem_Table[],20,FALSE)</f>
        <v>n.a.</v>
      </c>
      <c r="AH30" s="38" t="str">
        <f>VLOOKUP(Table3[[#This Row],[Marker Name / Summenformel]],PhysChem_Table[],21,FALSE)</f>
        <v>n.r.</v>
      </c>
      <c r="AI30" s="38" t="str">
        <f>VLOOKUP(Table3[[#This Row],[Marker Name / Summenformel]],PhysChem_Table[],22,FALSE)</f>
        <v>n.r.</v>
      </c>
      <c r="AJ30" s="38" t="str">
        <f>VLOOKUP(Table3[[#This Row],[Marker Name / Summenformel]],PhysChem_Table[],23,FALSE)</f>
        <v>n.r.</v>
      </c>
      <c r="AK30" s="38" t="str">
        <f>VLOOKUP(Table3[[#This Row],[Marker Name / Summenformel]],PhysChem_Table[],24,FALSE)</f>
        <v>N</v>
      </c>
      <c r="AL30" s="38" t="str">
        <f>VLOOKUP(Table3[[#This Row],[Marker Name / Summenformel]],PhysChem_Table[],25,FALSE)</f>
        <v>no flammability</v>
      </c>
      <c r="AM30" s="38" t="str">
        <f>VLOOKUP(Table3[[#This Row],[Marker Name / Summenformel]],PhysChem_Table[],26,FALSE)</f>
        <v>non explosive</v>
      </c>
      <c r="AN30" s="38" t="str">
        <f>VLOOKUP(Table3[[#This Row],[Marker Name / Summenformel]],PhysChem_Table[],27,FALSE)</f>
        <v>non oxidising</v>
      </c>
      <c r="AO30" s="38" t="str">
        <f>VLOOKUP(Table3[[#This Row],[Marker Name / Summenformel]],PhysChem_Table[],28,FALSE)</f>
        <v>n.r.</v>
      </c>
      <c r="AP30" s="38" t="str">
        <f>VLOOKUP(Table3[[#This Row],[Marker Name / Summenformel]],PhysChem_Table[],29,FALSE)</f>
        <v>n.a.</v>
      </c>
      <c r="AQ30" s="38" t="str">
        <f>VLOOKUP(Table3[[#This Row],[Marker Name / Summenformel]],PhysChem_Table[],30,FALSE)</f>
        <v>n.a.</v>
      </c>
      <c r="AR30" s="38" t="str">
        <f>VLOOKUP(Table3[[#This Row],[Marker Name / Summenformel]],PhysChem_Table[],31,FALSE)</f>
        <v>n.a.</v>
      </c>
      <c r="AS30" s="38" t="str">
        <f>VLOOKUP(Table3[[#This Row],[Marker Name / Summenformel]],PhysChem_Table[],32,FALSE)</f>
        <v>n.r.</v>
      </c>
      <c r="AT30" s="38" t="str">
        <f>VLOOKUP(Table3[[#This Row],[Marker Name / Summenformel]],PhysChem_Table[],33,FALSE)</f>
        <v>n.r.</v>
      </c>
      <c r="AU30" s="38" t="str">
        <f>VLOOKUP(Table3[[#This Row],[Marker Name / Summenformel]],PhysChem_Table[],34,FALSE)</f>
        <v>https://echa.europa.eu/de/registration-dossier/-/registered-dossier/15267</v>
      </c>
      <c r="AV30" s="10">
        <f>VLOOKUP(Table3[[#This Row],[Marker Name / Summenformel]],PhysChem_Table[],35,FALSE)</f>
        <v>0</v>
      </c>
    </row>
    <row r="31" spans="1:48" ht="15.6" customHeight="1" x14ac:dyDescent="0.3">
      <c r="A31" s="10" t="s">
        <v>692</v>
      </c>
      <c r="B31" s="10" t="str">
        <f>VLOOKUP(Table3[[#This Row],[Marker Name / Summenformel]],BaseInfos_Table[],2,FALSE)</f>
        <v>rare earth oxide</v>
      </c>
      <c r="C31" s="10" t="str">
        <f>VLOOKUP(Table3[[#This Row],[Marker Name / Summenformel]],BaseInfos_Table[],3,FALSE)</f>
        <v>12037-29-5</v>
      </c>
      <c r="D31" s="10" t="str">
        <f>VLOOKUP(Table3[[#This Row],[Marker Name / Summenformel]],BaseInfos_Table[],4,FALSE)</f>
        <v>234-857-9</v>
      </c>
      <c r="E31" s="10" t="str">
        <f>VLOOKUP(Table3[[#This Row],[Marker Name / Summenformel]],BaseInfos_Table[],5,FALSE)</f>
        <v>Bezati et al. 2011 / Resources Conservation &amp; Recycling</v>
      </c>
      <c r="F31" s="10" t="str">
        <f>VLOOKUP(Table3[[#This Row],[Marker Name / Summenformel]],BaseInfos_Table[],6,FALSE)</f>
        <v>XRF</v>
      </c>
      <c r="G31" s="10" t="str">
        <f>VLOOKUP(Table3[[#This Row],[Marker Name / Summenformel]],BaseInfos_Table[],7,FALSE)</f>
        <v>Y</v>
      </c>
      <c r="H31" s="10">
        <f>VLOOKUP(Table3[[#This Row],[Marker Name / Summenformel]],BaseInfos_Table[],8,FALSE)</f>
        <v>100</v>
      </c>
      <c r="I31" s="10" t="str">
        <f>VLOOKUP(Table3[[#This Row],[Marker Name / Summenformel]],BaseInfos_Table[],9,FALSE)</f>
        <v>https://echa.europa.eu/de/substance-information/-/substanceinfo/100.031.676</v>
      </c>
      <c r="J31" s="10" t="str">
        <f>VLOOKUP(Table3[[#This Row],[Marker Name / Summenformel]],BaseInfos_Table[],10,FALSE)</f>
        <v>https://www.sigmaaldrich.com/AT/en/search/12037-29-5?focus=products&amp;page=1&amp;perPage=30&amp;sort=relevance&amp;term=12037-29-5&amp;type=product</v>
      </c>
      <c r="K31" s="10">
        <f>VLOOKUP(Table3[[#This Row],[Marker Name / Summenformel]],BaseInfos_Table[],11,FALSE)</f>
        <v>0</v>
      </c>
      <c r="L31" s="10" t="str">
        <f>VLOOKUP(Table3[[#This Row],[Marker Name / Summenformel]],GHS_Table[#All],3,FALSE)</f>
        <v>REACH</v>
      </c>
      <c r="M31" s="10">
        <f>VLOOKUP(Table3[[#This Row],[Marker Name / Summenformel]],GHS_Table[#All],4,FALSE)</f>
        <v>0</v>
      </c>
      <c r="N31" s="10">
        <f>VLOOKUP(Table3[[#This Row],[Marker Name / Summenformel]],GHS_Table[#All],5,FALSE)</f>
        <v>4</v>
      </c>
      <c r="O31" s="10">
        <f>VLOOKUP(Table3[[#This Row],[Marker Name / Summenformel]],GHS_Table[#All],6,FALSE)</f>
        <v>0</v>
      </c>
      <c r="P31" s="10" t="str">
        <f>VLOOKUP(Table3[[#This Row],[Marker Name / Summenformel]],PhysChem_Table[],3,FALSE)</f>
        <v>solid: powder</v>
      </c>
      <c r="Q31" s="10" t="str">
        <f>VLOOKUP(Table3[[#This Row],[Marker Name / Summenformel]],PhysChem_Table[],4,FALSE)</f>
        <v>brown</v>
      </c>
      <c r="R31" s="10">
        <f>VLOOKUP(Table3[[#This Row],[Marker Name / Summenformel]],PhysChem_Table[],5,FALSE)</f>
        <v>2183</v>
      </c>
      <c r="S31" s="10" t="str">
        <f>VLOOKUP(Table3[[#This Row],[Marker Name / Summenformel]],PhysChem_Table[],6,FALSE)</f>
        <v>n.s.</v>
      </c>
      <c r="T31" s="10">
        <f>VLOOKUP(Table3[[#This Row],[Marker Name / Summenformel]],PhysChem_Table[],7,FALSE)</f>
        <v>3760</v>
      </c>
      <c r="U31" s="10" t="str">
        <f>VLOOKUP(Table3[[#This Row],[Marker Name / Summenformel]],PhysChem_Table[],8,FALSE)</f>
        <v>n.s.</v>
      </c>
      <c r="V31" s="10">
        <f>VLOOKUP(Table3[[#This Row],[Marker Name / Summenformel]],PhysChem_Table[],9,FALSE)</f>
        <v>6.5</v>
      </c>
      <c r="W31" s="10">
        <f>VLOOKUP(Table3[[#This Row],[Marker Name / Summenformel]],PhysChem_Table[],10,FALSE)</f>
        <v>20</v>
      </c>
      <c r="X31" s="10" t="str">
        <f>VLOOKUP(Table3[[#This Row],[Marker Name / Summenformel]],PhysChem_Table[],11,FALSE)</f>
        <v>2-50 um</v>
      </c>
      <c r="Y31" s="10" t="str">
        <f>VLOOKUP(Table3[[#This Row],[Marker Name / Summenformel]],PhysChem_Table[],12,FALSE)</f>
        <v>n.r.</v>
      </c>
      <c r="Z31" s="10" t="str">
        <f>VLOOKUP(Table3[[#This Row],[Marker Name / Summenformel]],PhysChem_Table[],13,FALSE)</f>
        <v>n.r.</v>
      </c>
      <c r="AA31" s="10" t="str">
        <f>VLOOKUP(Table3[[#This Row],[Marker Name / Summenformel]],PhysChem_Table[],14,FALSE)</f>
        <v>n.r.</v>
      </c>
      <c r="AB31" s="10" t="str">
        <f>VLOOKUP(Table3[[#This Row],[Marker Name / Summenformel]],PhysChem_Table[],15,FALSE)</f>
        <v>n.r.</v>
      </c>
      <c r="AC31" s="10">
        <f>VLOOKUP(Table3[[#This Row],[Marker Name / Summenformel]],PhysChem_Table[],16,FALSE)</f>
        <v>1.2699999999999999E-6</v>
      </c>
      <c r="AD31" s="10">
        <f>VLOOKUP(Table3[[#This Row],[Marker Name / Summenformel]],PhysChem_Table[],17,FALSE)</f>
        <v>20</v>
      </c>
      <c r="AE31" s="10" t="str">
        <f>VLOOKUP(Table3[[#This Row],[Marker Name / Summenformel]],PhysChem_Table[],18,FALSE)</f>
        <v>n.a.</v>
      </c>
      <c r="AF31" s="10" t="str">
        <f>VLOOKUP(Table3[[#This Row],[Marker Name / Summenformel]],PhysChem_Table[],19,FALSE)</f>
        <v>n.a.</v>
      </c>
      <c r="AG31" s="10" t="str">
        <f>VLOOKUP(Table3[[#This Row],[Marker Name / Summenformel]],PhysChem_Table[],20,FALSE)</f>
        <v>n.a.</v>
      </c>
      <c r="AH31" s="10" t="str">
        <f>VLOOKUP(Table3[[#This Row],[Marker Name / Summenformel]],PhysChem_Table[],21,FALSE)</f>
        <v>n.r.</v>
      </c>
      <c r="AI31" s="10" t="str">
        <f>VLOOKUP(Table3[[#This Row],[Marker Name / Summenformel]],PhysChem_Table[],22,FALSE)</f>
        <v>n.r.</v>
      </c>
      <c r="AJ31" s="10" t="str">
        <f>VLOOKUP(Table3[[#This Row],[Marker Name / Summenformel]],PhysChem_Table[],23,FALSE)</f>
        <v>n.r.</v>
      </c>
      <c r="AK31" s="10" t="str">
        <f>VLOOKUP(Table3[[#This Row],[Marker Name / Summenformel]],PhysChem_Table[],24,FALSE)</f>
        <v>N</v>
      </c>
      <c r="AL31" s="10" t="str">
        <f>VLOOKUP(Table3[[#This Row],[Marker Name / Summenformel]],PhysChem_Table[],25,FALSE)</f>
        <v>no flammability</v>
      </c>
      <c r="AM31" s="10" t="str">
        <f>VLOOKUP(Table3[[#This Row],[Marker Name / Summenformel]],PhysChem_Table[],26,FALSE)</f>
        <v>n.r.</v>
      </c>
      <c r="AN31" s="10" t="str">
        <f>VLOOKUP(Table3[[#This Row],[Marker Name / Summenformel]],PhysChem_Table[],27,FALSE)</f>
        <v>non oxidising</v>
      </c>
      <c r="AO31" s="10" t="str">
        <f>VLOOKUP(Table3[[#This Row],[Marker Name / Summenformel]],PhysChem_Table[],28,FALSE)</f>
        <v>n.a.</v>
      </c>
      <c r="AP31" s="10" t="str">
        <f>VLOOKUP(Table3[[#This Row],[Marker Name / Summenformel]],PhysChem_Table[],29,FALSE)</f>
        <v>n.a.</v>
      </c>
      <c r="AQ31" s="10" t="str">
        <f>VLOOKUP(Table3[[#This Row],[Marker Name / Summenformel]],PhysChem_Table[],30,FALSE)</f>
        <v>n.a.</v>
      </c>
      <c r="AR31" s="10" t="str">
        <f>VLOOKUP(Table3[[#This Row],[Marker Name / Summenformel]],PhysChem_Table[],31,FALSE)</f>
        <v>n.a.</v>
      </c>
      <c r="AS31" s="10" t="str">
        <f>VLOOKUP(Table3[[#This Row],[Marker Name / Summenformel]],PhysChem_Table[],32,FALSE)</f>
        <v>n.r.</v>
      </c>
      <c r="AT31" s="10" t="str">
        <f>VLOOKUP(Table3[[#This Row],[Marker Name / Summenformel]],PhysChem_Table[],33,FALSE)</f>
        <v>n.r.</v>
      </c>
      <c r="AU31" s="10" t="str">
        <f>VLOOKUP(Table3[[#This Row],[Marker Name / Summenformel]],PhysChem_Table[],34,FALSE)</f>
        <v>https://echa.europa.eu/de/registration-dossier/-/registered-dossier/15875</v>
      </c>
      <c r="AV31" s="10">
        <f>VLOOKUP(Table3[[#This Row],[Marker Name / Summenformel]],PhysChem_Table[],35,FALSE)</f>
        <v>0</v>
      </c>
    </row>
    <row r="32" spans="1:48" ht="15.6" customHeight="1" x14ac:dyDescent="0.3">
      <c r="A32" s="10" t="s">
        <v>693</v>
      </c>
      <c r="B32" s="10" t="str">
        <f>VLOOKUP(Table3[[#This Row],[Marker Name / Summenformel]],BaseInfos_Table[],2,FALSE)</f>
        <v>rare earth oxide</v>
      </c>
      <c r="C32" s="10" t="str">
        <f>VLOOKUP(Table3[[#This Row],[Marker Name / Summenformel]],BaseInfos_Table[],3,FALSE)</f>
        <v>12061-16-4</v>
      </c>
      <c r="D32" s="10" t="str">
        <f>VLOOKUP(Table3[[#This Row],[Marker Name / Summenformel]],BaseInfos_Table[],4,FALSE)</f>
        <v>235-045-7</v>
      </c>
      <c r="E32" s="10" t="str">
        <f>VLOOKUP(Table3[[#This Row],[Marker Name / Summenformel]],BaseInfos_Table[],5,FALSE)</f>
        <v>Bezati et al. 2011 / Resources Conservation &amp; Recycling</v>
      </c>
      <c r="F32" s="10" t="str">
        <f>VLOOKUP(Table3[[#This Row],[Marker Name / Summenformel]],BaseInfos_Table[],6,FALSE)</f>
        <v>XRF</v>
      </c>
      <c r="G32" s="10" t="str">
        <f>VLOOKUP(Table3[[#This Row],[Marker Name / Summenformel]],BaseInfos_Table[],7,FALSE)</f>
        <v>Y</v>
      </c>
      <c r="H32" s="10">
        <f>VLOOKUP(Table3[[#This Row],[Marker Name / Summenformel]],BaseInfos_Table[],8,FALSE)</f>
        <v>100</v>
      </c>
      <c r="I32" s="10" t="str">
        <f>VLOOKUP(Table3[[#This Row],[Marker Name / Summenformel]],BaseInfos_Table[],9,FALSE)</f>
        <v>https://echa.europa.eu/de/substance-information/-/substanceinfo/100.031.847</v>
      </c>
      <c r="J32" s="10" t="str">
        <f>VLOOKUP(Table3[[#This Row],[Marker Name / Summenformel]],BaseInfos_Table[],10,FALSE)</f>
        <v>https://www.sigmaaldrich.com/AT/en/search/12061-16-4?focus=products&amp;page=1&amp;perPage=30&amp;sort=relevance&amp;term=12061-16-4&amp;type=product</v>
      </c>
      <c r="K32" s="10">
        <f>VLOOKUP(Table3[[#This Row],[Marker Name / Summenformel]],BaseInfos_Table[],11,FALSE)</f>
        <v>0</v>
      </c>
      <c r="L32" s="10" t="str">
        <f>VLOOKUP(Table3[[#This Row],[Marker Name / Summenformel]],GHS_Table[#All],3,FALSE)</f>
        <v>REACH</v>
      </c>
      <c r="M32" s="10">
        <f>VLOOKUP(Table3[[#This Row],[Marker Name / Summenformel]],GHS_Table[#All],4,FALSE)</f>
        <v>2</v>
      </c>
      <c r="N32" s="10">
        <f>VLOOKUP(Table3[[#This Row],[Marker Name / Summenformel]],GHS_Table[#All],5,FALSE)</f>
        <v>6</v>
      </c>
      <c r="O32" s="10">
        <f>VLOOKUP(Table3[[#This Row],[Marker Name / Summenformel]],GHS_Table[#All],6,FALSE)</f>
        <v>0</v>
      </c>
      <c r="P32" s="10" t="str">
        <f>VLOOKUP(Table3[[#This Row],[Marker Name / Summenformel]],PhysChem_Table[],3,FALSE)</f>
        <v>solid: powder</v>
      </c>
      <c r="Q32" s="10" t="str">
        <f>VLOOKUP(Table3[[#This Row],[Marker Name / Summenformel]],PhysChem_Table[],4,FALSE)</f>
        <v>pink</v>
      </c>
      <c r="R32" s="10">
        <f>VLOOKUP(Table3[[#This Row],[Marker Name / Summenformel]],PhysChem_Table[],5,FALSE)</f>
        <v>2344</v>
      </c>
      <c r="S32" s="10" t="str">
        <f>VLOOKUP(Table3[[#This Row],[Marker Name / Summenformel]],PhysChem_Table[],6,FALSE)</f>
        <v>n.s.</v>
      </c>
      <c r="T32" s="10">
        <f>VLOOKUP(Table3[[#This Row],[Marker Name / Summenformel]],PhysChem_Table[],7,FALSE)</f>
        <v>3920</v>
      </c>
      <c r="U32" s="10" t="str">
        <f>VLOOKUP(Table3[[#This Row],[Marker Name / Summenformel]],PhysChem_Table[],8,FALSE)</f>
        <v>n.s.</v>
      </c>
      <c r="V32" s="10">
        <f>VLOOKUP(Table3[[#This Row],[Marker Name / Summenformel]],PhysChem_Table[],9,FALSE)</f>
        <v>8.64</v>
      </c>
      <c r="W32" s="10">
        <f>VLOOKUP(Table3[[#This Row],[Marker Name / Summenformel]],PhysChem_Table[],10,FALSE)</f>
        <v>20</v>
      </c>
      <c r="X32" s="10" t="str">
        <f>VLOOKUP(Table3[[#This Row],[Marker Name / Summenformel]],PhysChem_Table[],11,FALSE)</f>
        <v>2-10 um</v>
      </c>
      <c r="Y32" s="10" t="str">
        <f>VLOOKUP(Table3[[#This Row],[Marker Name / Summenformel]],PhysChem_Table[],12,FALSE)</f>
        <v>n.r.</v>
      </c>
      <c r="Z32" s="10" t="str">
        <f>VLOOKUP(Table3[[#This Row],[Marker Name / Summenformel]],PhysChem_Table[],13,FALSE)</f>
        <v>n.r.</v>
      </c>
      <c r="AA32" s="10" t="str">
        <f>VLOOKUP(Table3[[#This Row],[Marker Name / Summenformel]],PhysChem_Table[],14,FALSE)</f>
        <v>n.r.</v>
      </c>
      <c r="AB32" s="10" t="str">
        <f>VLOOKUP(Table3[[#This Row],[Marker Name / Summenformel]],PhysChem_Table[],15,FALSE)</f>
        <v>n.r.</v>
      </c>
      <c r="AC32" s="10">
        <f>VLOOKUP(Table3[[#This Row],[Marker Name / Summenformel]],PhysChem_Table[],16,FALSE)</f>
        <v>4.8999999999999997E-6</v>
      </c>
      <c r="AD32" s="10">
        <f>VLOOKUP(Table3[[#This Row],[Marker Name / Summenformel]],PhysChem_Table[],17,FALSE)</f>
        <v>29</v>
      </c>
      <c r="AE32" s="10" t="str">
        <f>VLOOKUP(Table3[[#This Row],[Marker Name / Summenformel]],PhysChem_Table[],18,FALSE)</f>
        <v>n.a.</v>
      </c>
      <c r="AF32" s="10" t="str">
        <f>VLOOKUP(Table3[[#This Row],[Marker Name / Summenformel]],PhysChem_Table[],19,FALSE)</f>
        <v>n.a.</v>
      </c>
      <c r="AG32" s="10" t="str">
        <f>VLOOKUP(Table3[[#This Row],[Marker Name / Summenformel]],PhysChem_Table[],20,FALSE)</f>
        <v>n.a.</v>
      </c>
      <c r="AH32" s="10" t="str">
        <f>VLOOKUP(Table3[[#This Row],[Marker Name / Summenformel]],PhysChem_Table[],21,FALSE)</f>
        <v>n.r.</v>
      </c>
      <c r="AI32" s="10" t="str">
        <f>VLOOKUP(Table3[[#This Row],[Marker Name / Summenformel]],PhysChem_Table[],22,FALSE)</f>
        <v>n.r.</v>
      </c>
      <c r="AJ32" s="10" t="str">
        <f>VLOOKUP(Table3[[#This Row],[Marker Name / Summenformel]],PhysChem_Table[],23,FALSE)</f>
        <v>n.r.</v>
      </c>
      <c r="AK32" s="10" t="str">
        <f>VLOOKUP(Table3[[#This Row],[Marker Name / Summenformel]],PhysChem_Table[],24,FALSE)</f>
        <v>n.r.</v>
      </c>
      <c r="AL32" s="10" t="str">
        <f>VLOOKUP(Table3[[#This Row],[Marker Name / Summenformel]],PhysChem_Table[],25,FALSE)</f>
        <v>no flammability</v>
      </c>
      <c r="AM32" s="10" t="str">
        <f>VLOOKUP(Table3[[#This Row],[Marker Name / Summenformel]],PhysChem_Table[],26,FALSE)</f>
        <v>n.r.</v>
      </c>
      <c r="AN32" s="10" t="str">
        <f>VLOOKUP(Table3[[#This Row],[Marker Name / Summenformel]],PhysChem_Table[],27,FALSE)</f>
        <v>non oxidising</v>
      </c>
      <c r="AO32" s="10" t="str">
        <f>VLOOKUP(Table3[[#This Row],[Marker Name / Summenformel]],PhysChem_Table[],28,FALSE)</f>
        <v>n.r.</v>
      </c>
      <c r="AP32" s="10" t="str">
        <f>VLOOKUP(Table3[[#This Row],[Marker Name / Summenformel]],PhysChem_Table[],29,FALSE)</f>
        <v>n.a.</v>
      </c>
      <c r="AQ32" s="10" t="str">
        <f>VLOOKUP(Table3[[#This Row],[Marker Name / Summenformel]],PhysChem_Table[],30,FALSE)</f>
        <v>n.a.</v>
      </c>
      <c r="AR32" s="10" t="str">
        <f>VLOOKUP(Table3[[#This Row],[Marker Name / Summenformel]],PhysChem_Table[],31,FALSE)</f>
        <v>n.a.</v>
      </c>
      <c r="AS32" s="10" t="str">
        <f>VLOOKUP(Table3[[#This Row],[Marker Name / Summenformel]],PhysChem_Table[],32,FALSE)</f>
        <v>n.r.</v>
      </c>
      <c r="AT32" s="10" t="str">
        <f>VLOOKUP(Table3[[#This Row],[Marker Name / Summenformel]],PhysChem_Table[],33,FALSE)</f>
        <v>n.r.</v>
      </c>
      <c r="AU32" s="10" t="str">
        <f>VLOOKUP(Table3[[#This Row],[Marker Name / Summenformel]],PhysChem_Table[],34,FALSE)</f>
        <v>https://echa.europa.eu/de/registration-dossier/-/registered-dossier/10619</v>
      </c>
      <c r="AV32" s="10">
        <f>VLOOKUP(Table3[[#This Row],[Marker Name / Summenformel]],PhysChem_Table[],35,FALSE)</f>
        <v>0</v>
      </c>
    </row>
    <row r="33" spans="1:48" ht="15.6" customHeight="1" x14ac:dyDescent="0.3">
      <c r="A33" s="10" t="s">
        <v>694</v>
      </c>
      <c r="B33" s="10" t="str">
        <f>VLOOKUP(Table3[[#This Row],[Marker Name / Summenformel]],BaseInfos_Table[],2,FALSE)</f>
        <v>rare earth oxide</v>
      </c>
      <c r="C33" s="10" t="str">
        <f>VLOOKUP(Table3[[#This Row],[Marker Name / Summenformel]],BaseInfos_Table[],3,FALSE)</f>
        <v>1314-37-0</v>
      </c>
      <c r="D33" s="10" t="str">
        <f>VLOOKUP(Table3[[#This Row],[Marker Name / Summenformel]],BaseInfos_Table[],4,FALSE)</f>
        <v>215-234-0</v>
      </c>
      <c r="E33" s="10" t="str">
        <f>VLOOKUP(Table3[[#This Row],[Marker Name / Summenformel]],BaseInfos_Table[],5,FALSE)</f>
        <v>Bezati et al. 2011 / Resources Conservation &amp; Recycling</v>
      </c>
      <c r="F33" s="10" t="str">
        <f>VLOOKUP(Table3[[#This Row],[Marker Name / Summenformel]],BaseInfos_Table[],6,FALSE)</f>
        <v>XRF</v>
      </c>
      <c r="G33" s="10" t="str">
        <f>VLOOKUP(Table3[[#This Row],[Marker Name / Summenformel]],BaseInfos_Table[],7,FALSE)</f>
        <v>Y</v>
      </c>
      <c r="H33" s="10">
        <f>VLOOKUP(Table3[[#This Row],[Marker Name / Summenformel]],BaseInfos_Table[],8,FALSE)</f>
        <v>10</v>
      </c>
      <c r="I33" s="10" t="str">
        <f>VLOOKUP(Table3[[#This Row],[Marker Name / Summenformel]],BaseInfos_Table[],9,FALSE)</f>
        <v>https://echa.europa.eu/de/substance-information/-/substanceinfo/100.013.850</v>
      </c>
      <c r="J33" s="10" t="str">
        <f>VLOOKUP(Table3[[#This Row],[Marker Name / Summenformel]],BaseInfos_Table[],10,FALSE)</f>
        <v>https://www.sigmaaldrich.com/AT/en/search/1314-37-0?focus=products&amp;page=1&amp;perPage=30&amp;sort=relevance&amp;term=1314-37-0&amp;type=product</v>
      </c>
      <c r="K33" s="10">
        <f>VLOOKUP(Table3[[#This Row],[Marker Name / Summenformel]],BaseInfos_Table[],11,FALSE)</f>
        <v>0</v>
      </c>
      <c r="L33" s="10" t="str">
        <f>VLOOKUP(Table3[[#This Row],[Marker Name / Summenformel]],GHS_Table[#All],3,FALSE)</f>
        <v>REACH</v>
      </c>
      <c r="M33" s="10">
        <f>VLOOKUP(Table3[[#This Row],[Marker Name / Summenformel]],GHS_Table[#All],4,FALSE)</f>
        <v>0</v>
      </c>
      <c r="N33" s="10">
        <f>VLOOKUP(Table3[[#This Row],[Marker Name / Summenformel]],GHS_Table[#All],5,FALSE)</f>
        <v>4</v>
      </c>
      <c r="O33" s="10">
        <f>VLOOKUP(Table3[[#This Row],[Marker Name / Summenformel]],GHS_Table[#All],6,FALSE)</f>
        <v>0</v>
      </c>
      <c r="P33" s="10" t="str">
        <f>VLOOKUP(Table3[[#This Row],[Marker Name / Summenformel]],PhysChem_Table[],3,FALSE)</f>
        <v>solid: powder</v>
      </c>
      <c r="Q33" s="10" t="str">
        <f>VLOOKUP(Table3[[#This Row],[Marker Name / Summenformel]],PhysChem_Table[],4,FALSE)</f>
        <v>white</v>
      </c>
      <c r="R33" s="10">
        <f>VLOOKUP(Table3[[#This Row],[Marker Name / Summenformel]],PhysChem_Table[],5,FALSE)</f>
        <v>600</v>
      </c>
      <c r="S33" s="10" t="str">
        <f>VLOOKUP(Table3[[#This Row],[Marker Name / Summenformel]],PhysChem_Table[],6,FALSE)</f>
        <v>n.s.</v>
      </c>
      <c r="T33" s="10" t="str">
        <f>VLOOKUP(Table3[[#This Row],[Marker Name / Summenformel]],PhysChem_Table[],7,FALSE)</f>
        <v>n.r.</v>
      </c>
      <c r="U33" s="10" t="str">
        <f>VLOOKUP(Table3[[#This Row],[Marker Name / Summenformel]],PhysChem_Table[],8,FALSE)</f>
        <v>n.r.</v>
      </c>
      <c r="V33" s="10">
        <f>VLOOKUP(Table3[[#This Row],[Marker Name / Summenformel]],PhysChem_Table[],9,FALSE)</f>
        <v>9.1519999999999992</v>
      </c>
      <c r="W33" s="10">
        <f>VLOOKUP(Table3[[#This Row],[Marker Name / Summenformel]],PhysChem_Table[],10,FALSE)</f>
        <v>21.9</v>
      </c>
      <c r="X33" s="10" t="str">
        <f>VLOOKUP(Table3[[#This Row],[Marker Name / Summenformel]],PhysChem_Table[],11,FALSE)</f>
        <v>5.17 um</v>
      </c>
      <c r="Y33" s="10" t="str">
        <f>VLOOKUP(Table3[[#This Row],[Marker Name / Summenformel]],PhysChem_Table[],12,FALSE)</f>
        <v>n.r.</v>
      </c>
      <c r="Z33" s="10" t="str">
        <f>VLOOKUP(Table3[[#This Row],[Marker Name / Summenformel]],PhysChem_Table[],13,FALSE)</f>
        <v>n.r.</v>
      </c>
      <c r="AA33" s="10" t="str">
        <f>VLOOKUP(Table3[[#This Row],[Marker Name / Summenformel]],PhysChem_Table[],14,FALSE)</f>
        <v>n.r.</v>
      </c>
      <c r="AB33" s="10" t="str">
        <f>VLOOKUP(Table3[[#This Row],[Marker Name / Summenformel]],PhysChem_Table[],15,FALSE)</f>
        <v>n.r.</v>
      </c>
      <c r="AC33" s="10">
        <f>VLOOKUP(Table3[[#This Row],[Marker Name / Summenformel]],PhysChem_Table[],16,FALSE)</f>
        <v>2.6899999999999998E-4</v>
      </c>
      <c r="AD33" s="10">
        <f>VLOOKUP(Table3[[#This Row],[Marker Name / Summenformel]],PhysChem_Table[],17,FALSE)</f>
        <v>20</v>
      </c>
      <c r="AE33" s="10" t="str">
        <f>VLOOKUP(Table3[[#This Row],[Marker Name / Summenformel]],PhysChem_Table[],18,FALSE)</f>
        <v>n.a.</v>
      </c>
      <c r="AF33" s="10" t="str">
        <f>VLOOKUP(Table3[[#This Row],[Marker Name / Summenformel]],PhysChem_Table[],19,FALSE)</f>
        <v>n.a.</v>
      </c>
      <c r="AG33" s="10" t="str">
        <f>VLOOKUP(Table3[[#This Row],[Marker Name / Summenformel]],PhysChem_Table[],20,FALSE)</f>
        <v>n.a.</v>
      </c>
      <c r="AH33" s="10" t="str">
        <f>VLOOKUP(Table3[[#This Row],[Marker Name / Summenformel]],PhysChem_Table[],21,FALSE)</f>
        <v>n.r.</v>
      </c>
      <c r="AI33" s="10" t="str">
        <f>VLOOKUP(Table3[[#This Row],[Marker Name / Summenformel]],PhysChem_Table[],22,FALSE)</f>
        <v>n.r.</v>
      </c>
      <c r="AJ33" s="10" t="str">
        <f>VLOOKUP(Table3[[#This Row],[Marker Name / Summenformel]],PhysChem_Table[],23,FALSE)</f>
        <v>n.r.</v>
      </c>
      <c r="AK33" s="10" t="str">
        <f>VLOOKUP(Table3[[#This Row],[Marker Name / Summenformel]],PhysChem_Table[],24,FALSE)</f>
        <v>N</v>
      </c>
      <c r="AL33" s="10" t="str">
        <f>VLOOKUP(Table3[[#This Row],[Marker Name / Summenformel]],PhysChem_Table[],25,FALSE)</f>
        <v>no flammability</v>
      </c>
      <c r="AM33" s="10" t="str">
        <f>VLOOKUP(Table3[[#This Row],[Marker Name / Summenformel]],PhysChem_Table[],26,FALSE)</f>
        <v>n.r.</v>
      </c>
      <c r="AN33" s="10" t="str">
        <f>VLOOKUP(Table3[[#This Row],[Marker Name / Summenformel]],PhysChem_Table[],27,FALSE)</f>
        <v>non oxidising</v>
      </c>
      <c r="AO33" s="10" t="str">
        <f>VLOOKUP(Table3[[#This Row],[Marker Name / Summenformel]],PhysChem_Table[],28,FALSE)</f>
        <v>n.a.</v>
      </c>
      <c r="AP33" s="10" t="str">
        <f>VLOOKUP(Table3[[#This Row],[Marker Name / Summenformel]],PhysChem_Table[],29,FALSE)</f>
        <v>n.a.</v>
      </c>
      <c r="AQ33" s="10" t="str">
        <f>VLOOKUP(Table3[[#This Row],[Marker Name / Summenformel]],PhysChem_Table[],30,FALSE)</f>
        <v>n.a.</v>
      </c>
      <c r="AR33" s="10" t="str">
        <f>VLOOKUP(Table3[[#This Row],[Marker Name / Summenformel]],PhysChem_Table[],31,FALSE)</f>
        <v>n.a.</v>
      </c>
      <c r="AS33" s="10" t="str">
        <f>VLOOKUP(Table3[[#This Row],[Marker Name / Summenformel]],PhysChem_Table[],32,FALSE)</f>
        <v>n.a.</v>
      </c>
      <c r="AT33" s="10" t="str">
        <f>VLOOKUP(Table3[[#This Row],[Marker Name / Summenformel]],PhysChem_Table[],33,FALSE)</f>
        <v>n.a.</v>
      </c>
      <c r="AU33" s="10" t="str">
        <f>VLOOKUP(Table3[[#This Row],[Marker Name / Summenformel]],PhysChem_Table[],34,FALSE)</f>
        <v>https://echa.europa.eu/de/registration-dossier/-/registered-dossier/26773</v>
      </c>
      <c r="AV33" s="10">
        <f>VLOOKUP(Table3[[#This Row],[Marker Name / Summenformel]],PhysChem_Table[],35,FALSE)</f>
        <v>0</v>
      </c>
    </row>
    <row r="34" spans="1:48" x14ac:dyDescent="0.3">
      <c r="A34" s="10" t="s">
        <v>695</v>
      </c>
      <c r="B34" s="10" t="str">
        <f>VLOOKUP(Table3[[#This Row],[Marker Name / Summenformel]],BaseInfos_Table[],2,FALSE)</f>
        <v>modified rare earth oxide</v>
      </c>
      <c r="C34" s="10" t="str">
        <f>VLOOKUP(Table3[[#This Row],[Marker Name / Summenformel]],BaseInfos_Table[],3,FALSE)</f>
        <v>68585-82-0</v>
      </c>
      <c r="D34" s="10" t="str">
        <f>VLOOKUP(Table3[[#This Row],[Marker Name / Summenformel]],BaseInfos_Table[],4,FALSE)</f>
        <v>271-591-2</v>
      </c>
      <c r="E34" s="10" t="str">
        <f>VLOOKUP(Table3[[#This Row],[Marker Name / Summenformel]],BaseInfos_Table[],5,FALSE)</f>
        <v>Maris et al. 2012 / Minerals Engineering</v>
      </c>
      <c r="F34" s="10" t="str">
        <f>VLOOKUP(Table3[[#This Row],[Marker Name / Summenformel]],BaseInfos_Table[],6,FALSE)</f>
        <v>UV-Vis, XRF</v>
      </c>
      <c r="G34" s="10" t="str">
        <f>VLOOKUP(Table3[[#This Row],[Marker Name / Summenformel]],BaseInfos_Table[],7,FALSE)</f>
        <v>Y</v>
      </c>
      <c r="H34" s="10">
        <f>VLOOKUP(Table3[[#This Row],[Marker Name / Summenformel]],BaseInfos_Table[],8,FALSE)</f>
        <v>10</v>
      </c>
      <c r="I34" s="10" t="str">
        <f>VLOOKUP(Table3[[#This Row],[Marker Name / Summenformel]],BaseInfos_Table[],9,FALSE)</f>
        <v>https://echa.europa.eu/de/substance-information/-/substanceinfo/100.065.064</v>
      </c>
      <c r="J34" s="10" t="str">
        <f>VLOOKUP(Table3[[#This Row],[Marker Name / Summenformel]],BaseInfos_Table[],10,FALSE)</f>
        <v>https://www.sigmaaldrich.com/AT/en/product/aldrich/756490</v>
      </c>
      <c r="K34" s="10">
        <f>VLOOKUP(Table3[[#This Row],[Marker Name / Summenformel]],BaseInfos_Table[],11,FALSE)</f>
        <v>0</v>
      </c>
      <c r="L34" s="10" t="str">
        <f>VLOOKUP(Table3[[#This Row],[Marker Name / Summenformel]],GHS_Table[#All],3,FALSE)</f>
        <v>REACH</v>
      </c>
      <c r="M34" s="10">
        <f>VLOOKUP(Table3[[#This Row],[Marker Name / Summenformel]],GHS_Table[#All],4,FALSE)</f>
        <v>1</v>
      </c>
      <c r="N34" s="10">
        <f>VLOOKUP(Table3[[#This Row],[Marker Name / Summenformel]],GHS_Table[#All],5,FALSE)</f>
        <v>1</v>
      </c>
      <c r="O34" s="10">
        <f>VLOOKUP(Table3[[#This Row],[Marker Name / Summenformel]],GHS_Table[#All],6,FALSE)</f>
        <v>0</v>
      </c>
      <c r="P34" s="10" t="str">
        <f>VLOOKUP(Table3[[#This Row],[Marker Name / Summenformel]],PhysChem_Table[],3,FALSE)</f>
        <v>solid: powder</v>
      </c>
      <c r="Q34" s="10" t="str">
        <f>VLOOKUP(Table3[[#This Row],[Marker Name / Summenformel]],PhysChem_Table[],4,FALSE)</f>
        <v>white</v>
      </c>
      <c r="R34" s="10">
        <f>VLOOKUP(Table3[[#This Row],[Marker Name / Summenformel]],PhysChem_Table[],5,FALSE)</f>
        <v>400</v>
      </c>
      <c r="S34" s="10" t="str">
        <f>VLOOKUP(Table3[[#This Row],[Marker Name / Summenformel]],PhysChem_Table[],6,FALSE)</f>
        <v>n.s.</v>
      </c>
      <c r="T34" s="10">
        <f>VLOOKUP(Table3[[#This Row],[Marker Name / Summenformel]],PhysChem_Table[],7,FALSE)</f>
        <v>400</v>
      </c>
      <c r="U34" s="10" t="str">
        <f>VLOOKUP(Table3[[#This Row],[Marker Name / Summenformel]],PhysChem_Table[],8,FALSE)</f>
        <v>n.s.</v>
      </c>
      <c r="V34" s="10">
        <f>VLOOKUP(Table3[[#This Row],[Marker Name / Summenformel]],PhysChem_Table[],9,FALSE)</f>
        <v>5.05</v>
      </c>
      <c r="W34" s="10">
        <f>VLOOKUP(Table3[[#This Row],[Marker Name / Summenformel]],PhysChem_Table[],10,FALSE)</f>
        <v>20</v>
      </c>
      <c r="X34" s="10" t="str">
        <f>VLOOKUP(Table3[[#This Row],[Marker Name / Summenformel]],PhysChem_Table[],11,FALSE)</f>
        <v>10.387 um</v>
      </c>
      <c r="Y34" s="10">
        <f>VLOOKUP(Table3[[#This Row],[Marker Name / Summenformel]],PhysChem_Table[],12,FALSE)</f>
        <v>0</v>
      </c>
      <c r="Z34" s="10">
        <f>VLOOKUP(Table3[[#This Row],[Marker Name / Summenformel]],PhysChem_Table[],13,FALSE)</f>
        <v>25</v>
      </c>
      <c r="AA34" s="10" t="str">
        <f>VLOOKUP(Table3[[#This Row],[Marker Name / Summenformel]],PhysChem_Table[],14,FALSE)</f>
        <v>n.r.</v>
      </c>
      <c r="AB34" s="10" t="str">
        <f>VLOOKUP(Table3[[#This Row],[Marker Name / Summenformel]],PhysChem_Table[],15,FALSE)</f>
        <v>n.r.</v>
      </c>
      <c r="AC34" s="10">
        <f>VLOOKUP(Table3[[#This Row],[Marker Name / Summenformel]],PhysChem_Table[],16,FALSE)</f>
        <v>6.6300000000000005E-7</v>
      </c>
      <c r="AD34" s="10">
        <f>VLOOKUP(Table3[[#This Row],[Marker Name / Summenformel]],PhysChem_Table[],17,FALSE)</f>
        <v>20</v>
      </c>
      <c r="AE34" s="10" t="str">
        <f>VLOOKUP(Table3[[#This Row],[Marker Name / Summenformel]],PhysChem_Table[],18,FALSE)</f>
        <v>n.a.</v>
      </c>
      <c r="AF34" s="10" t="str">
        <f>VLOOKUP(Table3[[#This Row],[Marker Name / Summenformel]],PhysChem_Table[],19,FALSE)</f>
        <v>n.a.</v>
      </c>
      <c r="AG34" s="10" t="str">
        <f>VLOOKUP(Table3[[#This Row],[Marker Name / Summenformel]],PhysChem_Table[],20,FALSE)</f>
        <v>n.a.</v>
      </c>
      <c r="AH34" s="10" t="str">
        <f>VLOOKUP(Table3[[#This Row],[Marker Name / Summenformel]],PhysChem_Table[],21,FALSE)</f>
        <v>n.r.</v>
      </c>
      <c r="AI34" s="10" t="str">
        <f>VLOOKUP(Table3[[#This Row],[Marker Name / Summenformel]],PhysChem_Table[],22,FALSE)</f>
        <v>n.r.</v>
      </c>
      <c r="AJ34" s="10" t="str">
        <f>VLOOKUP(Table3[[#This Row],[Marker Name / Summenformel]],PhysChem_Table[],23,FALSE)</f>
        <v>n.r.</v>
      </c>
      <c r="AK34" s="10" t="str">
        <f>VLOOKUP(Table3[[#This Row],[Marker Name / Summenformel]],PhysChem_Table[],24,FALSE)</f>
        <v>N</v>
      </c>
      <c r="AL34" s="10" t="str">
        <f>VLOOKUP(Table3[[#This Row],[Marker Name / Summenformel]],PhysChem_Table[],25,FALSE)</f>
        <v>n.r.</v>
      </c>
      <c r="AM34" s="10" t="str">
        <f>VLOOKUP(Table3[[#This Row],[Marker Name / Summenformel]],PhysChem_Table[],26,FALSE)</f>
        <v>non explosive</v>
      </c>
      <c r="AN34" s="10" t="str">
        <f>VLOOKUP(Table3[[#This Row],[Marker Name / Summenformel]],PhysChem_Table[],27,FALSE)</f>
        <v>non oxidising</v>
      </c>
      <c r="AO34" s="10" t="str">
        <f>VLOOKUP(Table3[[#This Row],[Marker Name / Summenformel]],PhysChem_Table[],28,FALSE)</f>
        <v>n.r.</v>
      </c>
      <c r="AP34" s="10" t="str">
        <f>VLOOKUP(Table3[[#This Row],[Marker Name / Summenformel]],PhysChem_Table[],29,FALSE)</f>
        <v>n.a.</v>
      </c>
      <c r="AQ34" s="10" t="str">
        <f>VLOOKUP(Table3[[#This Row],[Marker Name / Summenformel]],PhysChem_Table[],30,FALSE)</f>
        <v>n.a.</v>
      </c>
      <c r="AR34" s="10" t="str">
        <f>VLOOKUP(Table3[[#This Row],[Marker Name / Summenformel]],PhysChem_Table[],31,FALSE)</f>
        <v>n.a.</v>
      </c>
      <c r="AS34" s="10" t="str">
        <f>VLOOKUP(Table3[[#This Row],[Marker Name / Summenformel]],PhysChem_Table[],32,FALSE)</f>
        <v>n.r.</v>
      </c>
      <c r="AT34" s="10" t="str">
        <f>VLOOKUP(Table3[[#This Row],[Marker Name / Summenformel]],PhysChem_Table[],33,FALSE)</f>
        <v>n.r.</v>
      </c>
      <c r="AU34" s="10" t="str">
        <f>VLOOKUP(Table3[[#This Row],[Marker Name / Summenformel]],PhysChem_Table[],34,FALSE)</f>
        <v>https://echa.europa.eu/de/registration-dossier/-/registered-dossier/5386</v>
      </c>
      <c r="AV34" s="10">
        <f>VLOOKUP(Table3[[#This Row],[Marker Name / Summenformel]],PhysChem_Table[],35,FALSE)</f>
        <v>0</v>
      </c>
    </row>
    <row r="35" spans="1:48" x14ac:dyDescent="0.3">
      <c r="A35" s="10" t="s">
        <v>696</v>
      </c>
      <c r="B35" s="38" t="str">
        <f>VLOOKUP(Table3[[#This Row],[Marker Name / Summenformel]],BaseInfos_Table[],2,FALSE)</f>
        <v>metal oxide</v>
      </c>
      <c r="C35" s="38" t="str">
        <f>VLOOKUP(Table3[[#This Row],[Marker Name / Summenformel]],BaseInfos_Table[],3,FALSE)</f>
        <v>63774-55-0</v>
      </c>
      <c r="D35" s="38" t="str">
        <f>VLOOKUP(Table3[[#This Row],[Marker Name / Summenformel]],BaseInfos_Table[],4,FALSE)</f>
        <v>264-456-4</v>
      </c>
      <c r="E35" s="38" t="str">
        <f>VLOOKUP(Table3[[#This Row],[Marker Name / Summenformel]],BaseInfos_Table[],5,FALSE)</f>
        <v>Massardier et al. 2015 / Polímeros</v>
      </c>
      <c r="F35" s="38" t="str">
        <f>VLOOKUP(Table3[[#This Row],[Marker Name / Summenformel]],BaseInfos_Table[],6,FALSE)</f>
        <v>UV-Vis, XRF</v>
      </c>
      <c r="G35" s="38" t="str">
        <f>VLOOKUP(Table3[[#This Row],[Marker Name / Summenformel]],BaseInfos_Table[],7,FALSE)</f>
        <v>Y</v>
      </c>
      <c r="H35" s="38" t="str">
        <f>VLOOKUP(Table3[[#This Row],[Marker Name / Summenformel]],BaseInfos_Table[],8,FALSE)</f>
        <v>n.a.</v>
      </c>
      <c r="I35" s="38" t="str">
        <f>VLOOKUP(Table3[[#This Row],[Marker Name / Summenformel]],BaseInfos_Table[],9,FALSE)</f>
        <v>https://echa.europa.eu/de/substance-information/-/substanceinfo/100.058.579</v>
      </c>
      <c r="J35" s="38" t="str">
        <f>VLOOKUP(Table3[[#This Row],[Marker Name / Summenformel]],BaseInfos_Table[],10,FALSE)</f>
        <v>https://www.americanelements.com/barium-magnesium-aluminate-63774-55-0</v>
      </c>
      <c r="K35" s="38">
        <f>VLOOKUP(Table3[[#This Row],[Marker Name / Summenformel]],BaseInfos_Table[],11,FALSE)</f>
        <v>0</v>
      </c>
      <c r="L35" s="10" t="str">
        <f>VLOOKUP(Table3[[#This Row],[Marker Name / Summenformel]],GHS_Table[#All],3,FALSE)</f>
        <v>CLP</v>
      </c>
      <c r="M35" s="10" t="str">
        <f>VLOOKUP(Table3[[#This Row],[Marker Name / Summenformel]],GHS_Table[#All],4,FALSE)</f>
        <v>n.a.</v>
      </c>
      <c r="N35" s="10">
        <f>VLOOKUP(Table3[[#This Row],[Marker Name / Summenformel]],GHS_Table[#All],5,FALSE)</f>
        <v>0</v>
      </c>
      <c r="O35" s="10">
        <f>VLOOKUP(Table3[[#This Row],[Marker Name / Summenformel]],GHS_Table[#All],6,FALSE)</f>
        <v>0</v>
      </c>
      <c r="P35" s="38" t="str">
        <f>VLOOKUP(Table3[[#This Row],[Marker Name / Summenformel]],PhysChem_Table[],3,FALSE)</f>
        <v>solid: powder</v>
      </c>
      <c r="Q35" s="38" t="str">
        <f>VLOOKUP(Table3[[#This Row],[Marker Name / Summenformel]],PhysChem_Table[],4,FALSE)</f>
        <v>white</v>
      </c>
      <c r="R35" s="38" t="str">
        <f>VLOOKUP(Table3[[#This Row],[Marker Name / Summenformel]],PhysChem_Table[],5,FALSE)</f>
        <v>n.a.</v>
      </c>
      <c r="S35" s="38" t="str">
        <f>VLOOKUP(Table3[[#This Row],[Marker Name / Summenformel]],PhysChem_Table[],6,FALSE)</f>
        <v>n.a.</v>
      </c>
      <c r="T35" s="38" t="str">
        <f>VLOOKUP(Table3[[#This Row],[Marker Name / Summenformel]],PhysChem_Table[],7,FALSE)</f>
        <v>n.a.</v>
      </c>
      <c r="U35" s="38" t="str">
        <f>VLOOKUP(Table3[[#This Row],[Marker Name / Summenformel]],PhysChem_Table[],8,FALSE)</f>
        <v>n.a.</v>
      </c>
      <c r="V35" s="38" t="str">
        <f>VLOOKUP(Table3[[#This Row],[Marker Name / Summenformel]],PhysChem_Table[],9,FALSE)</f>
        <v>n.a.</v>
      </c>
      <c r="W35" s="38" t="str">
        <f>VLOOKUP(Table3[[#This Row],[Marker Name / Summenformel]],PhysChem_Table[],10,FALSE)</f>
        <v>n.a.</v>
      </c>
      <c r="X35" s="38" t="str">
        <f>VLOOKUP(Table3[[#This Row],[Marker Name / Summenformel]],PhysChem_Table[],11,FALSE)</f>
        <v>n.a.</v>
      </c>
      <c r="Y35" s="38" t="str">
        <f>VLOOKUP(Table3[[#This Row],[Marker Name / Summenformel]],PhysChem_Table[],12,FALSE)</f>
        <v>n.a.</v>
      </c>
      <c r="Z35" s="38" t="str">
        <f>VLOOKUP(Table3[[#This Row],[Marker Name / Summenformel]],PhysChem_Table[],13,FALSE)</f>
        <v>n.a.</v>
      </c>
      <c r="AA35" s="38" t="str">
        <f>VLOOKUP(Table3[[#This Row],[Marker Name / Summenformel]],PhysChem_Table[],14,FALSE)</f>
        <v>n.a.</v>
      </c>
      <c r="AB35" s="38" t="str">
        <f>VLOOKUP(Table3[[#This Row],[Marker Name / Summenformel]],PhysChem_Table[],15,FALSE)</f>
        <v>n.a.</v>
      </c>
      <c r="AC35" s="38" t="str">
        <f>VLOOKUP(Table3[[#This Row],[Marker Name / Summenformel]],PhysChem_Table[],16,FALSE)</f>
        <v>n.a.</v>
      </c>
      <c r="AD35" s="38" t="str">
        <f>VLOOKUP(Table3[[#This Row],[Marker Name / Summenformel]],PhysChem_Table[],17,FALSE)</f>
        <v>n.a.</v>
      </c>
      <c r="AE35" s="38" t="str">
        <f>VLOOKUP(Table3[[#This Row],[Marker Name / Summenformel]],PhysChem_Table[],18,FALSE)</f>
        <v>n.a.</v>
      </c>
      <c r="AF35" s="38" t="str">
        <f>VLOOKUP(Table3[[#This Row],[Marker Name / Summenformel]],PhysChem_Table[],19,FALSE)</f>
        <v>n.a.</v>
      </c>
      <c r="AG35" s="38" t="str">
        <f>VLOOKUP(Table3[[#This Row],[Marker Name / Summenformel]],PhysChem_Table[],20,FALSE)</f>
        <v>n.a.</v>
      </c>
      <c r="AH35" s="38" t="str">
        <f>VLOOKUP(Table3[[#This Row],[Marker Name / Summenformel]],PhysChem_Table[],21,FALSE)</f>
        <v>n.a.</v>
      </c>
      <c r="AI35" s="38" t="str">
        <f>VLOOKUP(Table3[[#This Row],[Marker Name / Summenformel]],PhysChem_Table[],22,FALSE)</f>
        <v>n.a.</v>
      </c>
      <c r="AJ35" s="38" t="str">
        <f>VLOOKUP(Table3[[#This Row],[Marker Name / Summenformel]],PhysChem_Table[],23,FALSE)</f>
        <v>n.a.</v>
      </c>
      <c r="AK35" s="38" t="str">
        <f>VLOOKUP(Table3[[#This Row],[Marker Name / Summenformel]],PhysChem_Table[],24,FALSE)</f>
        <v>n.a.</v>
      </c>
      <c r="AL35" s="38" t="str">
        <f>VLOOKUP(Table3[[#This Row],[Marker Name / Summenformel]],PhysChem_Table[],25,FALSE)</f>
        <v>n.a.</v>
      </c>
      <c r="AM35" s="38" t="str">
        <f>VLOOKUP(Table3[[#This Row],[Marker Name / Summenformel]],PhysChem_Table[],26,FALSE)</f>
        <v>n.a.</v>
      </c>
      <c r="AN35" s="38" t="str">
        <f>VLOOKUP(Table3[[#This Row],[Marker Name / Summenformel]],PhysChem_Table[],27,FALSE)</f>
        <v>n.a.</v>
      </c>
      <c r="AO35" s="38" t="str">
        <f>VLOOKUP(Table3[[#This Row],[Marker Name / Summenformel]],PhysChem_Table[],28,FALSE)</f>
        <v>n.a.</v>
      </c>
      <c r="AP35" s="38" t="str">
        <f>VLOOKUP(Table3[[#This Row],[Marker Name / Summenformel]],PhysChem_Table[],29,FALSE)</f>
        <v>n.a.</v>
      </c>
      <c r="AQ35" s="38" t="str">
        <f>VLOOKUP(Table3[[#This Row],[Marker Name / Summenformel]],PhysChem_Table[],30,FALSE)</f>
        <v>n.a.</v>
      </c>
      <c r="AR35" s="38" t="str">
        <f>VLOOKUP(Table3[[#This Row],[Marker Name / Summenformel]],PhysChem_Table[],31,FALSE)</f>
        <v>n.a.</v>
      </c>
      <c r="AS35" s="38" t="str">
        <f>VLOOKUP(Table3[[#This Row],[Marker Name / Summenformel]],PhysChem_Table[],32,FALSE)</f>
        <v>n.a.</v>
      </c>
      <c r="AT35" s="38" t="str">
        <f>VLOOKUP(Table3[[#This Row],[Marker Name / Summenformel]],PhysChem_Table[],33,FALSE)</f>
        <v>n.a.</v>
      </c>
      <c r="AU35" s="38" t="str">
        <f>VLOOKUP(Table3[[#This Row],[Marker Name / Summenformel]],PhysChem_Table[],34,FALSE)</f>
        <v>https://www.americanelements.com/printpdf/product/56007/sds</v>
      </c>
      <c r="AV35" s="10">
        <f>VLOOKUP(Table3[[#This Row],[Marker Name / Summenformel]],PhysChem_Table[],35,FALSE)</f>
        <v>0</v>
      </c>
    </row>
    <row r="36" spans="1:48" x14ac:dyDescent="0.3">
      <c r="A36" s="10" t="s">
        <v>398</v>
      </c>
      <c r="B36" s="38" t="str">
        <f>VLOOKUP(Table3[[#This Row],[Marker Name / Summenformel]],BaseInfos_Table[],2,FALSE)</f>
        <v>metal oxide</v>
      </c>
      <c r="C36" s="38" t="str">
        <f>VLOOKUP(Table3[[#This Row],[Marker Name / Summenformel]],BaseInfos_Table[],3,FALSE)</f>
        <v>1309-48-4</v>
      </c>
      <c r="D36" s="38" t="str">
        <f>VLOOKUP(Table3[[#This Row],[Marker Name / Summenformel]],BaseInfos_Table[],4,FALSE)</f>
        <v>215-171-9</v>
      </c>
      <c r="E36" s="38" t="str">
        <f>VLOOKUP(Table3[[#This Row],[Marker Name / Summenformel]],BaseInfos_Table[],5,FALSE)</f>
        <v>Khalid et al., 2019 / Nanomaterials</v>
      </c>
      <c r="F36" s="38" t="str">
        <f>VLOOKUP(Table3[[#This Row],[Marker Name / Summenformel]],BaseInfos_Table[],6,FALSE)</f>
        <v>UV-Vis, XRF</v>
      </c>
      <c r="G36" s="38" t="str">
        <f>VLOOKUP(Table3[[#This Row],[Marker Name / Summenformel]],BaseInfos_Table[],7,FALSE)</f>
        <v>Y</v>
      </c>
      <c r="H36" s="38" t="str">
        <f>VLOOKUP(Table3[[#This Row],[Marker Name / Summenformel]],BaseInfos_Table[],8,FALSE)</f>
        <v>n.a.</v>
      </c>
      <c r="I36" s="38" t="str">
        <f>VLOOKUP(Table3[[#This Row],[Marker Name / Summenformel]],BaseInfos_Table[],9,FALSE)</f>
        <v>https://www.echa.europa.eu/de/web/guest/substance-information/-/substanceinfo/100.013.793</v>
      </c>
      <c r="J36" s="38" t="str">
        <f>VLOOKUP(Table3[[#This Row],[Marker Name / Summenformel]],BaseInfos_Table[],10,FALSE)</f>
        <v>https://www.sigmaaldrich.com/AT/de/product/aldrich/549649</v>
      </c>
      <c r="K36" s="38">
        <f>VLOOKUP(Table3[[#This Row],[Marker Name / Summenformel]],BaseInfos_Table[],11,FALSE)</f>
        <v>0</v>
      </c>
      <c r="L36" s="10" t="str">
        <f>VLOOKUP(Table3[[#This Row],[Marker Name / Summenformel]],GHS_Table[#All],3,FALSE)</f>
        <v>CLP</v>
      </c>
      <c r="M36" s="10" t="str">
        <f>VLOOKUP(Table3[[#This Row],[Marker Name / Summenformel]],GHS_Table[#All],4,FALSE)</f>
        <v>n.a.</v>
      </c>
      <c r="N36" s="10">
        <f>VLOOKUP(Table3[[#This Row],[Marker Name / Summenformel]],GHS_Table[#All],5,FALSE)</f>
        <v>19</v>
      </c>
      <c r="O36" s="10">
        <f>VLOOKUP(Table3[[#This Row],[Marker Name / Summenformel]],GHS_Table[#All],6,FALSE)</f>
        <v>0</v>
      </c>
      <c r="P36" s="38" t="str">
        <f>VLOOKUP(Table3[[#This Row],[Marker Name / Summenformel]],PhysChem_Table[],3,FALSE)</f>
        <v>solid: powder</v>
      </c>
      <c r="Q36" s="38" t="str">
        <f>VLOOKUP(Table3[[#This Row],[Marker Name / Summenformel]],PhysChem_Table[],4,FALSE)</f>
        <v>white</v>
      </c>
      <c r="R36" s="38">
        <f>VLOOKUP(Table3[[#This Row],[Marker Name / Summenformel]],PhysChem_Table[],5,FALSE)</f>
        <v>2852</v>
      </c>
      <c r="S36" s="38" t="str">
        <f>VLOOKUP(Table3[[#This Row],[Marker Name / Summenformel]],PhysChem_Table[],6,FALSE)</f>
        <v>n.a.</v>
      </c>
      <c r="T36" s="38">
        <f>VLOOKUP(Table3[[#This Row],[Marker Name / Summenformel]],PhysChem_Table[],7,FALSE)</f>
        <v>3600</v>
      </c>
      <c r="U36" s="38">
        <f>VLOOKUP(Table3[[#This Row],[Marker Name / Summenformel]],PhysChem_Table[],8,FALSE)</f>
        <v>101.325</v>
      </c>
      <c r="V36" s="38">
        <f>VLOOKUP(Table3[[#This Row],[Marker Name / Summenformel]],PhysChem_Table[],9,FALSE)</f>
        <v>3.58</v>
      </c>
      <c r="W36" s="38" t="str">
        <f>VLOOKUP(Table3[[#This Row],[Marker Name / Summenformel]],PhysChem_Table[],10,FALSE)</f>
        <v>n.a.</v>
      </c>
      <c r="X36" s="38" t="str">
        <f>VLOOKUP(Table3[[#This Row],[Marker Name / Summenformel]],PhysChem_Table[],11,FALSE)</f>
        <v>n.a.</v>
      </c>
      <c r="Y36" s="38" t="str">
        <f>VLOOKUP(Table3[[#This Row],[Marker Name / Summenformel]],PhysChem_Table[],12,FALSE)</f>
        <v>n.a.</v>
      </c>
      <c r="Z36" s="38" t="str">
        <f>VLOOKUP(Table3[[#This Row],[Marker Name / Summenformel]],PhysChem_Table[],13,FALSE)</f>
        <v>n.a.</v>
      </c>
      <c r="AA36" s="38" t="str">
        <f>VLOOKUP(Table3[[#This Row],[Marker Name / Summenformel]],PhysChem_Table[],14,FALSE)</f>
        <v>n.a.</v>
      </c>
      <c r="AB36" s="38" t="str">
        <f>VLOOKUP(Table3[[#This Row],[Marker Name / Summenformel]],PhysChem_Table[],15,FALSE)</f>
        <v>n.a.</v>
      </c>
      <c r="AC36" s="38" t="str">
        <f>VLOOKUP(Table3[[#This Row],[Marker Name / Summenformel]],PhysChem_Table[],16,FALSE)</f>
        <v>n.a.</v>
      </c>
      <c r="AD36" s="38" t="str">
        <f>VLOOKUP(Table3[[#This Row],[Marker Name / Summenformel]],PhysChem_Table[],17,FALSE)</f>
        <v>n.a.</v>
      </c>
      <c r="AE36" s="38" t="str">
        <f>VLOOKUP(Table3[[#This Row],[Marker Name / Summenformel]],PhysChem_Table[],18,FALSE)</f>
        <v>n.a.</v>
      </c>
      <c r="AF36" s="38" t="str">
        <f>VLOOKUP(Table3[[#This Row],[Marker Name / Summenformel]],PhysChem_Table[],19,FALSE)</f>
        <v>n.a.</v>
      </c>
      <c r="AG36" s="38" t="str">
        <f>VLOOKUP(Table3[[#This Row],[Marker Name / Summenformel]],PhysChem_Table[],20,FALSE)</f>
        <v>n.a.</v>
      </c>
      <c r="AH36" s="38" t="str">
        <f>VLOOKUP(Table3[[#This Row],[Marker Name / Summenformel]],PhysChem_Table[],21,FALSE)</f>
        <v>n.a.</v>
      </c>
      <c r="AI36" s="38" t="str">
        <f>VLOOKUP(Table3[[#This Row],[Marker Name / Summenformel]],PhysChem_Table[],22,FALSE)</f>
        <v>n.a.</v>
      </c>
      <c r="AJ36" s="38" t="str">
        <f>VLOOKUP(Table3[[#This Row],[Marker Name / Summenformel]],PhysChem_Table[],23,FALSE)</f>
        <v>n.a.</v>
      </c>
      <c r="AK36" s="38" t="str">
        <f>VLOOKUP(Table3[[#This Row],[Marker Name / Summenformel]],PhysChem_Table[],24,FALSE)</f>
        <v>n.a.</v>
      </c>
      <c r="AL36" s="38" t="str">
        <f>VLOOKUP(Table3[[#This Row],[Marker Name / Summenformel]],PhysChem_Table[],25,FALSE)</f>
        <v>n.a.</v>
      </c>
      <c r="AM36" s="38" t="str">
        <f>VLOOKUP(Table3[[#This Row],[Marker Name / Summenformel]],PhysChem_Table[],26,FALSE)</f>
        <v>n.a.</v>
      </c>
      <c r="AN36" s="38" t="str">
        <f>VLOOKUP(Table3[[#This Row],[Marker Name / Summenformel]],PhysChem_Table[],27,FALSE)</f>
        <v>n.a.</v>
      </c>
      <c r="AO36" s="38" t="str">
        <f>VLOOKUP(Table3[[#This Row],[Marker Name / Summenformel]],PhysChem_Table[],28,FALSE)</f>
        <v>n.a.</v>
      </c>
      <c r="AP36" s="38" t="str">
        <f>VLOOKUP(Table3[[#This Row],[Marker Name / Summenformel]],PhysChem_Table[],29,FALSE)</f>
        <v>n.a.</v>
      </c>
      <c r="AQ36" s="38" t="str">
        <f>VLOOKUP(Table3[[#This Row],[Marker Name / Summenformel]],PhysChem_Table[],30,FALSE)</f>
        <v>n.a.</v>
      </c>
      <c r="AR36" s="38" t="str">
        <f>VLOOKUP(Table3[[#This Row],[Marker Name / Summenformel]],PhysChem_Table[],31,FALSE)</f>
        <v>n.a.</v>
      </c>
      <c r="AS36" s="38" t="str">
        <f>VLOOKUP(Table3[[#This Row],[Marker Name / Summenformel]],PhysChem_Table[],32,FALSE)</f>
        <v>n.a.</v>
      </c>
      <c r="AT36" s="38" t="str">
        <f>VLOOKUP(Table3[[#This Row],[Marker Name / Summenformel]],PhysChem_Table[],33,FALSE)</f>
        <v>n.a.</v>
      </c>
      <c r="AU36" s="38" t="str">
        <f>VLOOKUP(Table3[[#This Row],[Marker Name / Summenformel]],PhysChem_Table[],34,FALSE)</f>
        <v>http://www.chemspider.com/Chemical-Structure.5254017.html?rid=50cff674-e778-47cf-ba5d-24f05047752f</v>
      </c>
      <c r="AV36" s="10">
        <f>VLOOKUP(Table3[[#This Row],[Marker Name / Summenformel]],PhysChem_Table[],35,FALSE)</f>
        <v>0</v>
      </c>
    </row>
    <row r="37" spans="1:48" x14ac:dyDescent="0.3">
      <c r="A37" s="16" t="s">
        <v>697</v>
      </c>
      <c r="B37" s="38" t="str">
        <f>VLOOKUP(Table3[[#This Row],[Marker Name / Summenformel]],BaseInfos_Table[],2,FALSE)</f>
        <v>rare earth oxide</v>
      </c>
      <c r="C37" s="38" t="str">
        <f>VLOOKUP(Table3[[#This Row],[Marker Name / Summenformel]],BaseInfos_Table[],3,FALSE)</f>
        <v>12060-58-1</v>
      </c>
      <c r="D37" s="38" t="str">
        <f>VLOOKUP(Table3[[#This Row],[Marker Name / Summenformel]],BaseInfos_Table[],4,FALSE)</f>
        <v>235-043-6</v>
      </c>
      <c r="E37" s="38" t="str">
        <f>VLOOKUP(Table3[[#This Row],[Marker Name / Summenformel]],BaseInfos_Table[],5,FALSE)</f>
        <v>Hossain et al., 2021 / Applied Materials today</v>
      </c>
      <c r="F37" s="38" t="str">
        <f>VLOOKUP(Table3[[#This Row],[Marker Name / Summenformel]],BaseInfos_Table[],6,FALSE)</f>
        <v>UV-VIS, XRF</v>
      </c>
      <c r="G37" s="38" t="str">
        <f>VLOOKUP(Table3[[#This Row],[Marker Name / Summenformel]],BaseInfos_Table[],7,FALSE)</f>
        <v>Y</v>
      </c>
      <c r="H37" s="38">
        <f>VLOOKUP(Table3[[#This Row],[Marker Name / Summenformel]],BaseInfos_Table[],8,FALSE)</f>
        <v>10</v>
      </c>
      <c r="I37" s="38" t="str">
        <f>VLOOKUP(Table3[[#This Row],[Marker Name / Summenformel]],BaseInfos_Table[],9,FALSE)</f>
        <v>https://echa.europa.eu/de/substance-information/-/substanceinfo/100.031.845</v>
      </c>
      <c r="J37" s="38" t="str">
        <f>VLOOKUP(Table3[[#This Row],[Marker Name / Summenformel]],BaseInfos_Table[],10,FALSE)</f>
        <v>https://www.sigmaaldrich.com/AT/de/product/aldrich/641855</v>
      </c>
      <c r="K37" s="38">
        <f>VLOOKUP(Table3[[#This Row],[Marker Name / Summenformel]],BaseInfos_Table[],11,FALSE)</f>
        <v>0</v>
      </c>
      <c r="L37" s="10" t="str">
        <f>VLOOKUP(Table3[[#This Row],[Marker Name / Summenformel]],GHS_Table[#All],3,FALSE)</f>
        <v>REACH</v>
      </c>
      <c r="M37" s="10">
        <f>VLOOKUP(Table3[[#This Row],[Marker Name / Summenformel]],GHS_Table[#All],4,FALSE)</f>
        <v>0</v>
      </c>
      <c r="N37" s="10">
        <f>VLOOKUP(Table3[[#This Row],[Marker Name / Summenformel]],GHS_Table[#All],5,FALSE)</f>
        <v>2</v>
      </c>
      <c r="O37" s="10">
        <f>VLOOKUP(Table3[[#This Row],[Marker Name / Summenformel]],GHS_Table[#All],6,FALSE)</f>
        <v>0</v>
      </c>
      <c r="P37" s="38" t="str">
        <f>VLOOKUP(Table3[[#This Row],[Marker Name / Summenformel]],PhysChem_Table[],3,FALSE)</f>
        <v>solid: crystalline</v>
      </c>
      <c r="Q37" s="38" t="str">
        <f>VLOOKUP(Table3[[#This Row],[Marker Name / Summenformel]],PhysChem_Table[],4,FALSE)</f>
        <v>yellow-white</v>
      </c>
      <c r="R37" s="38">
        <f>VLOOKUP(Table3[[#This Row],[Marker Name / Summenformel]],PhysChem_Table[],5,FALSE)</f>
        <v>2335</v>
      </c>
      <c r="S37" s="38">
        <f>VLOOKUP(Table3[[#This Row],[Marker Name / Summenformel]],PhysChem_Table[],6,FALSE)</f>
        <v>101.325</v>
      </c>
      <c r="T37" s="38" t="str">
        <f>VLOOKUP(Table3[[#This Row],[Marker Name / Summenformel]],PhysChem_Table[],7,FALSE)</f>
        <v>n.r.</v>
      </c>
      <c r="U37" s="38" t="str">
        <f>VLOOKUP(Table3[[#This Row],[Marker Name / Summenformel]],PhysChem_Table[],8,FALSE)</f>
        <v>n.r.</v>
      </c>
      <c r="V37" s="38">
        <f>VLOOKUP(Table3[[#This Row],[Marker Name / Summenformel]],PhysChem_Table[],9,FALSE)</f>
        <v>7.85</v>
      </c>
      <c r="W37" s="38">
        <f>VLOOKUP(Table3[[#This Row],[Marker Name / Summenformel]],PhysChem_Table[],10,FALSE)</f>
        <v>20</v>
      </c>
      <c r="X37" s="38" t="str">
        <f>VLOOKUP(Table3[[#This Row],[Marker Name / Summenformel]],PhysChem_Table[],11,FALSE)</f>
        <v>n.r.</v>
      </c>
      <c r="Y37" s="38" t="str">
        <f>VLOOKUP(Table3[[#This Row],[Marker Name / Summenformel]],PhysChem_Table[],12,FALSE)</f>
        <v>n.r.</v>
      </c>
      <c r="Z37" s="38" t="str">
        <f>VLOOKUP(Table3[[#This Row],[Marker Name / Summenformel]],PhysChem_Table[],13,FALSE)</f>
        <v>n.r.</v>
      </c>
      <c r="AA37" s="38" t="str">
        <f>VLOOKUP(Table3[[#This Row],[Marker Name / Summenformel]],PhysChem_Table[],14,FALSE)</f>
        <v>n.r.</v>
      </c>
      <c r="AB37" s="38" t="str">
        <f>VLOOKUP(Table3[[#This Row],[Marker Name / Summenformel]],PhysChem_Table[],15,FALSE)</f>
        <v>n.r.</v>
      </c>
      <c r="AC37" s="38">
        <f>VLOOKUP(Table3[[#This Row],[Marker Name / Summenformel]],PhysChem_Table[],16,FALSE)</f>
        <v>9.6299999999999999E-4</v>
      </c>
      <c r="AD37" s="38">
        <f>VLOOKUP(Table3[[#This Row],[Marker Name / Summenformel]],PhysChem_Table[],17,FALSE)</f>
        <v>20</v>
      </c>
      <c r="AE37" s="38" t="str">
        <f>VLOOKUP(Table3[[#This Row],[Marker Name / Summenformel]],PhysChem_Table[],18,FALSE)</f>
        <v>n.a.</v>
      </c>
      <c r="AF37" s="38" t="str">
        <f>VLOOKUP(Table3[[#This Row],[Marker Name / Summenformel]],PhysChem_Table[],19,FALSE)</f>
        <v>n.a.</v>
      </c>
      <c r="AG37" s="38" t="str">
        <f>VLOOKUP(Table3[[#This Row],[Marker Name / Summenformel]],PhysChem_Table[],20,FALSE)</f>
        <v>n.a.</v>
      </c>
      <c r="AH37" s="38" t="str">
        <f>VLOOKUP(Table3[[#This Row],[Marker Name / Summenformel]],PhysChem_Table[],21,FALSE)</f>
        <v>n.r.</v>
      </c>
      <c r="AI37" s="38" t="str">
        <f>VLOOKUP(Table3[[#This Row],[Marker Name / Summenformel]],PhysChem_Table[],22,FALSE)</f>
        <v>n.r.</v>
      </c>
      <c r="AJ37" s="38" t="str">
        <f>VLOOKUP(Table3[[#This Row],[Marker Name / Summenformel]],PhysChem_Table[],23,FALSE)</f>
        <v>n.r.</v>
      </c>
      <c r="AK37" s="38" t="str">
        <f>VLOOKUP(Table3[[#This Row],[Marker Name / Summenformel]],PhysChem_Table[],24,FALSE)</f>
        <v>n.r.</v>
      </c>
      <c r="AL37" s="38" t="str">
        <f>VLOOKUP(Table3[[#This Row],[Marker Name / Summenformel]],PhysChem_Table[],25,FALSE)</f>
        <v>no flammability</v>
      </c>
      <c r="AM37" s="38" t="str">
        <f>VLOOKUP(Table3[[#This Row],[Marker Name / Summenformel]],PhysChem_Table[],26,FALSE)</f>
        <v>non explosive</v>
      </c>
      <c r="AN37" s="38" t="str">
        <f>VLOOKUP(Table3[[#This Row],[Marker Name / Summenformel]],PhysChem_Table[],27,FALSE)</f>
        <v>non oxidising</v>
      </c>
      <c r="AO37" s="38" t="str">
        <f>VLOOKUP(Table3[[#This Row],[Marker Name / Summenformel]],PhysChem_Table[],28,FALSE)</f>
        <v>n.a.</v>
      </c>
      <c r="AP37" s="38" t="str">
        <f>VLOOKUP(Table3[[#This Row],[Marker Name / Summenformel]],PhysChem_Table[],29,FALSE)</f>
        <v>n.a.</v>
      </c>
      <c r="AQ37" s="38" t="str">
        <f>VLOOKUP(Table3[[#This Row],[Marker Name / Summenformel]],PhysChem_Table[],30,FALSE)</f>
        <v>n.a.</v>
      </c>
      <c r="AR37" s="38" t="str">
        <f>VLOOKUP(Table3[[#This Row],[Marker Name / Summenformel]],PhysChem_Table[],31,FALSE)</f>
        <v>n.a.</v>
      </c>
      <c r="AS37" s="38" t="str">
        <f>VLOOKUP(Table3[[#This Row],[Marker Name / Summenformel]],PhysChem_Table[],32,FALSE)</f>
        <v>n.a.</v>
      </c>
      <c r="AT37" s="38" t="str">
        <f>VLOOKUP(Table3[[#This Row],[Marker Name / Summenformel]],PhysChem_Table[],33,FALSE)</f>
        <v>n.a.</v>
      </c>
      <c r="AU37" s="38" t="str">
        <f>VLOOKUP(Table3[[#This Row],[Marker Name / Summenformel]],PhysChem_Table[],34,FALSE)</f>
        <v>https://echa.europa.eu/de/registration-dossier/-/registered-dossier/13854/4/7</v>
      </c>
      <c r="AV37" s="10">
        <f>VLOOKUP(Table3[[#This Row],[Marker Name / Summenformel]],PhysChem_Table[],35,FALSE)</f>
        <v>0</v>
      </c>
    </row>
    <row r="38" spans="1:48" ht="16.5" x14ac:dyDescent="0.3">
      <c r="A38" s="16" t="s">
        <v>698</v>
      </c>
      <c r="B38" s="38" t="str">
        <f>VLOOKUP(Table3[[#This Row],[Marker Name / Summenformel]],BaseInfos_Table[],2,FALSE)</f>
        <v>modified rare earth oxid</v>
      </c>
      <c r="C38" s="38" t="str">
        <f>VLOOKUP(Table3[[#This Row],[Marker Name / Summenformel]],BaseInfos_Table[],3,FALSE)</f>
        <v>68585-83-1</v>
      </c>
      <c r="D38" s="38" t="str">
        <f>VLOOKUP(Table3[[#This Row],[Marker Name / Summenformel]],BaseInfos_Table[],4,FALSE)</f>
        <v>n.a.</v>
      </c>
      <c r="E38" s="38" t="str">
        <f>VLOOKUP(Table3[[#This Row],[Marker Name / Summenformel]],BaseInfos_Table[],5,FALSE)</f>
        <v>Hossain et al., 2021 / Applied Materials today</v>
      </c>
      <c r="F38" s="38" t="str">
        <f>VLOOKUP(Table3[[#This Row],[Marker Name / Summenformel]],BaseInfos_Table[],6,FALSE)</f>
        <v>IR, UV-VIS, XRF</v>
      </c>
      <c r="G38" s="38" t="str">
        <f>VLOOKUP(Table3[[#This Row],[Marker Name / Summenformel]],BaseInfos_Table[],7,FALSE)</f>
        <v>N</v>
      </c>
      <c r="H38" s="38" t="str">
        <f>VLOOKUP(Table3[[#This Row],[Marker Name / Summenformel]],BaseInfos_Table[],8,FALSE)</f>
        <v>n.a.</v>
      </c>
      <c r="I38" s="38" t="str">
        <f>VLOOKUP(Table3[[#This Row],[Marker Name / Summenformel]],BaseInfos_Table[],9,FALSE)</f>
        <v>n.a.</v>
      </c>
      <c r="J38" s="38" t="str">
        <f>VLOOKUP(Table3[[#This Row],[Marker Name / Summenformel]],BaseInfos_Table[],10,FALSE)</f>
        <v>n.a.</v>
      </c>
      <c r="K38" s="38">
        <f>VLOOKUP(Table3[[#This Row],[Marker Name / Summenformel]],BaseInfos_Table[],11,FALSE)</f>
        <v>0</v>
      </c>
      <c r="L38" s="10" t="str">
        <f>VLOOKUP(Table3[[#This Row],[Marker Name / Summenformel]],GHS_Table[#All],3,FALSE)</f>
        <v>n.a.</v>
      </c>
      <c r="M38" s="10" t="str">
        <f>VLOOKUP(Table3[[#This Row],[Marker Name / Summenformel]],GHS_Table[#All],4,FALSE)</f>
        <v>n.a.</v>
      </c>
      <c r="N38" s="10" t="str">
        <f>VLOOKUP(Table3[[#This Row],[Marker Name / Summenformel]],GHS_Table[#All],5,FALSE)</f>
        <v>n.a.</v>
      </c>
      <c r="O38" s="10" t="str">
        <f>VLOOKUP(Table3[[#This Row],[Marker Name / Summenformel]],GHS_Table[#All],6,FALSE)</f>
        <v>n.a.</v>
      </c>
      <c r="P38" s="38" t="str">
        <f>VLOOKUP(Table3[[#This Row],[Marker Name / Summenformel]],PhysChem_Table[],3,FALSE)</f>
        <v>n.a.</v>
      </c>
      <c r="Q38" s="38" t="str">
        <f>VLOOKUP(Table3[[#This Row],[Marker Name / Summenformel]],PhysChem_Table[],4,FALSE)</f>
        <v>n.a.</v>
      </c>
      <c r="R38" s="38" t="str">
        <f>VLOOKUP(Table3[[#This Row],[Marker Name / Summenformel]],PhysChem_Table[],5,FALSE)</f>
        <v>n.a.</v>
      </c>
      <c r="S38" s="38" t="str">
        <f>VLOOKUP(Table3[[#This Row],[Marker Name / Summenformel]],PhysChem_Table[],6,FALSE)</f>
        <v>n.a.</v>
      </c>
      <c r="T38" s="38" t="str">
        <f>VLOOKUP(Table3[[#This Row],[Marker Name / Summenformel]],PhysChem_Table[],7,FALSE)</f>
        <v>n.a.</v>
      </c>
      <c r="U38" s="38" t="str">
        <f>VLOOKUP(Table3[[#This Row],[Marker Name / Summenformel]],PhysChem_Table[],8,FALSE)</f>
        <v>n.a.</v>
      </c>
      <c r="V38" s="38" t="str">
        <f>VLOOKUP(Table3[[#This Row],[Marker Name / Summenformel]],PhysChem_Table[],9,FALSE)</f>
        <v>n.a.</v>
      </c>
      <c r="W38" s="38" t="str">
        <f>VLOOKUP(Table3[[#This Row],[Marker Name / Summenformel]],PhysChem_Table[],10,FALSE)</f>
        <v>n.a.</v>
      </c>
      <c r="X38" s="38" t="str">
        <f>VLOOKUP(Table3[[#This Row],[Marker Name / Summenformel]],PhysChem_Table[],11,FALSE)</f>
        <v>n.a.</v>
      </c>
      <c r="Y38" s="38" t="str">
        <f>VLOOKUP(Table3[[#This Row],[Marker Name / Summenformel]],PhysChem_Table[],12,FALSE)</f>
        <v>n.a.</v>
      </c>
      <c r="Z38" s="38" t="str">
        <f>VLOOKUP(Table3[[#This Row],[Marker Name / Summenformel]],PhysChem_Table[],13,FALSE)</f>
        <v>n.a.</v>
      </c>
      <c r="AA38" s="38" t="str">
        <f>VLOOKUP(Table3[[#This Row],[Marker Name / Summenformel]],PhysChem_Table[],14,FALSE)</f>
        <v>n.a.</v>
      </c>
      <c r="AB38" s="38" t="str">
        <f>VLOOKUP(Table3[[#This Row],[Marker Name / Summenformel]],PhysChem_Table[],15,FALSE)</f>
        <v>n.a.</v>
      </c>
      <c r="AC38" s="38" t="str">
        <f>VLOOKUP(Table3[[#This Row],[Marker Name / Summenformel]],PhysChem_Table[],16,FALSE)</f>
        <v>n.a.</v>
      </c>
      <c r="AD38" s="38" t="str">
        <f>VLOOKUP(Table3[[#This Row],[Marker Name / Summenformel]],PhysChem_Table[],17,FALSE)</f>
        <v>n.a.</v>
      </c>
      <c r="AE38" s="38" t="str">
        <f>VLOOKUP(Table3[[#This Row],[Marker Name / Summenformel]],PhysChem_Table[],18,FALSE)</f>
        <v>n.a.</v>
      </c>
      <c r="AF38" s="38" t="str">
        <f>VLOOKUP(Table3[[#This Row],[Marker Name / Summenformel]],PhysChem_Table[],19,FALSE)</f>
        <v>n.a.</v>
      </c>
      <c r="AG38" s="38" t="str">
        <f>VLOOKUP(Table3[[#This Row],[Marker Name / Summenformel]],PhysChem_Table[],20,FALSE)</f>
        <v>n.a.</v>
      </c>
      <c r="AH38" s="38" t="str">
        <f>VLOOKUP(Table3[[#This Row],[Marker Name / Summenformel]],PhysChem_Table[],21,FALSE)</f>
        <v>n.a.</v>
      </c>
      <c r="AI38" s="38" t="str">
        <f>VLOOKUP(Table3[[#This Row],[Marker Name / Summenformel]],PhysChem_Table[],22,FALSE)</f>
        <v>n.a.</v>
      </c>
      <c r="AJ38" s="38" t="str">
        <f>VLOOKUP(Table3[[#This Row],[Marker Name / Summenformel]],PhysChem_Table[],23,FALSE)</f>
        <v>n.a.</v>
      </c>
      <c r="AK38" s="38" t="str">
        <f>VLOOKUP(Table3[[#This Row],[Marker Name / Summenformel]],PhysChem_Table[],24,FALSE)</f>
        <v>n.a.</v>
      </c>
      <c r="AL38" s="38" t="str">
        <f>VLOOKUP(Table3[[#This Row],[Marker Name / Summenformel]],PhysChem_Table[],25,FALSE)</f>
        <v>n.a.</v>
      </c>
      <c r="AM38" s="38" t="str">
        <f>VLOOKUP(Table3[[#This Row],[Marker Name / Summenformel]],PhysChem_Table[],26,FALSE)</f>
        <v>n.a.</v>
      </c>
      <c r="AN38" s="38" t="str">
        <f>VLOOKUP(Table3[[#This Row],[Marker Name / Summenformel]],PhysChem_Table[],27,FALSE)</f>
        <v>n.a.</v>
      </c>
      <c r="AO38" s="38" t="str">
        <f>VLOOKUP(Table3[[#This Row],[Marker Name / Summenformel]],PhysChem_Table[],28,FALSE)</f>
        <v>n.a.</v>
      </c>
      <c r="AP38" s="38" t="str">
        <f>VLOOKUP(Table3[[#This Row],[Marker Name / Summenformel]],PhysChem_Table[],29,FALSE)</f>
        <v>n.a.</v>
      </c>
      <c r="AQ38" s="38" t="str">
        <f>VLOOKUP(Table3[[#This Row],[Marker Name / Summenformel]],PhysChem_Table[],30,FALSE)</f>
        <v>n.a.</v>
      </c>
      <c r="AR38" s="38" t="str">
        <f>VLOOKUP(Table3[[#This Row],[Marker Name / Summenformel]],PhysChem_Table[],31,FALSE)</f>
        <v>n.a.</v>
      </c>
      <c r="AS38" s="38" t="str">
        <f>VLOOKUP(Table3[[#This Row],[Marker Name / Summenformel]],PhysChem_Table[],32,FALSE)</f>
        <v>n.a.</v>
      </c>
      <c r="AT38" s="38" t="str">
        <f>VLOOKUP(Table3[[#This Row],[Marker Name / Summenformel]],PhysChem_Table[],33,FALSE)</f>
        <v>n.a.</v>
      </c>
      <c r="AU38" s="38" t="str">
        <f>VLOOKUP(Table3[[#This Row],[Marker Name / Summenformel]],PhysChem_Table[],34,FALSE)</f>
        <v>n.a.</v>
      </c>
      <c r="AV38" s="10">
        <f>VLOOKUP(Table3[[#This Row],[Marker Name / Summenformel]],PhysChem_Table[],35,FALSE)</f>
        <v>0</v>
      </c>
    </row>
    <row r="39" spans="1:48" x14ac:dyDescent="0.3">
      <c r="A39" s="16" t="s">
        <v>699</v>
      </c>
      <c r="B39" s="38" t="str">
        <f>VLOOKUP(Table3[[#This Row],[Marker Name / Summenformel]],BaseInfos_Table[],2,FALSE)</f>
        <v>modified rare earth oxid</v>
      </c>
      <c r="C39" s="38" t="str">
        <f>VLOOKUP(Table3[[#This Row],[Marker Name / Summenformel]],BaseInfos_Table[],3,FALSE)</f>
        <v>68609-38-1</v>
      </c>
      <c r="D39" s="38" t="str">
        <f>VLOOKUP(Table3[[#This Row],[Marker Name / Summenformel]],BaseInfos_Table[],4,FALSE)</f>
        <v>n.a.</v>
      </c>
      <c r="E39" s="38" t="str">
        <f>VLOOKUP(Table3[[#This Row],[Marker Name / Summenformel]],BaseInfos_Table[],5,FALSE)</f>
        <v>Hossain et al., 2021 / Applied Materials today</v>
      </c>
      <c r="F39" s="38" t="str">
        <f>VLOOKUP(Table3[[#This Row],[Marker Name / Summenformel]],BaseInfos_Table[],6,FALSE)</f>
        <v>IR, UV-VIS, XRF</v>
      </c>
      <c r="G39" s="38" t="str">
        <f>VLOOKUP(Table3[[#This Row],[Marker Name / Summenformel]],BaseInfos_Table[],7,FALSE)</f>
        <v>N</v>
      </c>
      <c r="H39" s="38" t="str">
        <f>VLOOKUP(Table3[[#This Row],[Marker Name / Summenformel]],BaseInfos_Table[],8,FALSE)</f>
        <v>n.a.</v>
      </c>
      <c r="I39" s="38" t="str">
        <f>VLOOKUP(Table3[[#This Row],[Marker Name / Summenformel]],BaseInfos_Table[],9,FALSE)</f>
        <v>https://echa.europa.eu/de/substance-information/-/substanceinfo/100.065.273</v>
      </c>
      <c r="J39" s="38" t="str">
        <f>VLOOKUP(Table3[[#This Row],[Marker Name / Summenformel]],BaseInfos_Table[],10,FALSE)</f>
        <v>n.a.</v>
      </c>
      <c r="K39" s="38">
        <f>VLOOKUP(Table3[[#This Row],[Marker Name / Summenformel]],BaseInfos_Table[],11,FALSE)</f>
        <v>0</v>
      </c>
      <c r="L39" s="10" t="str">
        <f>VLOOKUP(Table3[[#This Row],[Marker Name / Summenformel]],GHS_Table[#All],3,FALSE)</f>
        <v>n.a.</v>
      </c>
      <c r="M39" s="10" t="str">
        <f>VLOOKUP(Table3[[#This Row],[Marker Name / Summenformel]],GHS_Table[#All],4,FALSE)</f>
        <v>n.a.</v>
      </c>
      <c r="N39" s="10" t="str">
        <f>VLOOKUP(Table3[[#This Row],[Marker Name / Summenformel]],GHS_Table[#All],5,FALSE)</f>
        <v>n.a.</v>
      </c>
      <c r="O39" s="10" t="str">
        <f>VLOOKUP(Table3[[#This Row],[Marker Name / Summenformel]],GHS_Table[#All],6,FALSE)</f>
        <v>n.a.</v>
      </c>
      <c r="P39" s="38" t="str">
        <f>VLOOKUP(Table3[[#This Row],[Marker Name / Summenformel]],PhysChem_Table[],3,FALSE)</f>
        <v>n.a.</v>
      </c>
      <c r="Q39" s="38" t="str">
        <f>VLOOKUP(Table3[[#This Row],[Marker Name / Summenformel]],PhysChem_Table[],4,FALSE)</f>
        <v>n.a.</v>
      </c>
      <c r="R39" s="38" t="str">
        <f>VLOOKUP(Table3[[#This Row],[Marker Name / Summenformel]],PhysChem_Table[],5,FALSE)</f>
        <v>n.a.</v>
      </c>
      <c r="S39" s="38" t="str">
        <f>VLOOKUP(Table3[[#This Row],[Marker Name / Summenformel]],PhysChem_Table[],6,FALSE)</f>
        <v>n.a.</v>
      </c>
      <c r="T39" s="38" t="str">
        <f>VLOOKUP(Table3[[#This Row],[Marker Name / Summenformel]],PhysChem_Table[],7,FALSE)</f>
        <v>n.a.</v>
      </c>
      <c r="U39" s="38" t="str">
        <f>VLOOKUP(Table3[[#This Row],[Marker Name / Summenformel]],PhysChem_Table[],8,FALSE)</f>
        <v>n.a.</v>
      </c>
      <c r="V39" s="38" t="str">
        <f>VLOOKUP(Table3[[#This Row],[Marker Name / Summenformel]],PhysChem_Table[],9,FALSE)</f>
        <v>n.a.</v>
      </c>
      <c r="W39" s="38" t="str">
        <f>VLOOKUP(Table3[[#This Row],[Marker Name / Summenformel]],PhysChem_Table[],10,FALSE)</f>
        <v>n.a.</v>
      </c>
      <c r="X39" s="38" t="str">
        <f>VLOOKUP(Table3[[#This Row],[Marker Name / Summenformel]],PhysChem_Table[],11,FALSE)</f>
        <v>n.a.</v>
      </c>
      <c r="Y39" s="38" t="str">
        <f>VLOOKUP(Table3[[#This Row],[Marker Name / Summenformel]],PhysChem_Table[],12,FALSE)</f>
        <v>n.a.</v>
      </c>
      <c r="Z39" s="38" t="str">
        <f>VLOOKUP(Table3[[#This Row],[Marker Name / Summenformel]],PhysChem_Table[],13,FALSE)</f>
        <v>n.a.</v>
      </c>
      <c r="AA39" s="38" t="str">
        <f>VLOOKUP(Table3[[#This Row],[Marker Name / Summenformel]],PhysChem_Table[],14,FALSE)</f>
        <v>n.a.</v>
      </c>
      <c r="AB39" s="38" t="str">
        <f>VLOOKUP(Table3[[#This Row],[Marker Name / Summenformel]],PhysChem_Table[],15,FALSE)</f>
        <v>n.a.</v>
      </c>
      <c r="AC39" s="38" t="str">
        <f>VLOOKUP(Table3[[#This Row],[Marker Name / Summenformel]],PhysChem_Table[],16,FALSE)</f>
        <v>n.a.</v>
      </c>
      <c r="AD39" s="38" t="str">
        <f>VLOOKUP(Table3[[#This Row],[Marker Name / Summenformel]],PhysChem_Table[],17,FALSE)</f>
        <v>n.a.</v>
      </c>
      <c r="AE39" s="38" t="str">
        <f>VLOOKUP(Table3[[#This Row],[Marker Name / Summenformel]],PhysChem_Table[],18,FALSE)</f>
        <v>n.a.</v>
      </c>
      <c r="AF39" s="38" t="str">
        <f>VLOOKUP(Table3[[#This Row],[Marker Name / Summenformel]],PhysChem_Table[],19,FALSE)</f>
        <v>n.a.</v>
      </c>
      <c r="AG39" s="38" t="str">
        <f>VLOOKUP(Table3[[#This Row],[Marker Name / Summenformel]],PhysChem_Table[],20,FALSE)</f>
        <v>n.a.</v>
      </c>
      <c r="AH39" s="38" t="str">
        <f>VLOOKUP(Table3[[#This Row],[Marker Name / Summenformel]],PhysChem_Table[],21,FALSE)</f>
        <v>n.a.</v>
      </c>
      <c r="AI39" s="38" t="str">
        <f>VLOOKUP(Table3[[#This Row],[Marker Name / Summenformel]],PhysChem_Table[],22,FALSE)</f>
        <v>n.a.</v>
      </c>
      <c r="AJ39" s="38" t="str">
        <f>VLOOKUP(Table3[[#This Row],[Marker Name / Summenformel]],PhysChem_Table[],23,FALSE)</f>
        <v>n.a.</v>
      </c>
      <c r="AK39" s="38" t="str">
        <f>VLOOKUP(Table3[[#This Row],[Marker Name / Summenformel]],PhysChem_Table[],24,FALSE)</f>
        <v>n.a.</v>
      </c>
      <c r="AL39" s="38" t="str">
        <f>VLOOKUP(Table3[[#This Row],[Marker Name / Summenformel]],PhysChem_Table[],25,FALSE)</f>
        <v>n.a.</v>
      </c>
      <c r="AM39" s="38" t="str">
        <f>VLOOKUP(Table3[[#This Row],[Marker Name / Summenformel]],PhysChem_Table[],26,FALSE)</f>
        <v>n.a.</v>
      </c>
      <c r="AN39" s="38" t="str">
        <f>VLOOKUP(Table3[[#This Row],[Marker Name / Summenformel]],PhysChem_Table[],27,FALSE)</f>
        <v>n.a.</v>
      </c>
      <c r="AO39" s="38" t="str">
        <f>VLOOKUP(Table3[[#This Row],[Marker Name / Summenformel]],PhysChem_Table[],28,FALSE)</f>
        <v>n.a.</v>
      </c>
      <c r="AP39" s="38" t="str">
        <f>VLOOKUP(Table3[[#This Row],[Marker Name / Summenformel]],PhysChem_Table[],29,FALSE)</f>
        <v>n.a.</v>
      </c>
      <c r="AQ39" s="38" t="str">
        <f>VLOOKUP(Table3[[#This Row],[Marker Name / Summenformel]],PhysChem_Table[],30,FALSE)</f>
        <v>n.a.</v>
      </c>
      <c r="AR39" s="38" t="str">
        <f>VLOOKUP(Table3[[#This Row],[Marker Name / Summenformel]],PhysChem_Table[],31,FALSE)</f>
        <v>n.a.</v>
      </c>
      <c r="AS39" s="38" t="str">
        <f>VLOOKUP(Table3[[#This Row],[Marker Name / Summenformel]],PhysChem_Table[],32,FALSE)</f>
        <v>n.a.</v>
      </c>
      <c r="AT39" s="38" t="str">
        <f>VLOOKUP(Table3[[#This Row],[Marker Name / Summenformel]],PhysChem_Table[],33,FALSE)</f>
        <v>n.a.</v>
      </c>
      <c r="AU39" s="38" t="str">
        <f>VLOOKUP(Table3[[#This Row],[Marker Name / Summenformel]],PhysChem_Table[],34,FALSE)</f>
        <v>n.a.</v>
      </c>
      <c r="AV39" s="10">
        <f>VLOOKUP(Table3[[#This Row],[Marker Name / Summenformel]],PhysChem_Table[],35,FALSE)</f>
        <v>0</v>
      </c>
    </row>
    <row r="40" spans="1:48" ht="16.5" x14ac:dyDescent="0.3">
      <c r="A40" s="16" t="s">
        <v>700</v>
      </c>
      <c r="B40" s="38" t="str">
        <f>VLOOKUP(Table3[[#This Row],[Marker Name / Summenformel]],BaseInfos_Table[],2,FALSE)</f>
        <v>modified rare earth oxid</v>
      </c>
      <c r="C40" s="38" t="str">
        <f>VLOOKUP(Table3[[#This Row],[Marker Name / Summenformel]],BaseInfos_Table[],3,FALSE)</f>
        <v>n.a.</v>
      </c>
      <c r="D40" s="38" t="str">
        <f>VLOOKUP(Table3[[#This Row],[Marker Name / Summenformel]],BaseInfos_Table[],4,FALSE)</f>
        <v>n.a.</v>
      </c>
      <c r="E40" s="38" t="str">
        <f>VLOOKUP(Table3[[#This Row],[Marker Name / Summenformel]],BaseInfos_Table[],5,FALSE)</f>
        <v>Venkatachalam et al., 2013 / The american cheramic society</v>
      </c>
      <c r="F40" s="38" t="str">
        <f>VLOOKUP(Table3[[#This Row],[Marker Name / Summenformel]],BaseInfos_Table[],6,FALSE)</f>
        <v>IR, UV-Vis, XRF</v>
      </c>
      <c r="G40" s="38" t="str">
        <f>VLOOKUP(Table3[[#This Row],[Marker Name / Summenformel]],BaseInfos_Table[],7,FALSE)</f>
        <v>N</v>
      </c>
      <c r="H40" s="38" t="str">
        <f>VLOOKUP(Table3[[#This Row],[Marker Name / Summenformel]],BaseInfos_Table[],8,FALSE)</f>
        <v>n.a.</v>
      </c>
      <c r="I40" s="38" t="str">
        <f>VLOOKUP(Table3[[#This Row],[Marker Name / Summenformel]],BaseInfos_Table[],9,FALSE)</f>
        <v>n.a.</v>
      </c>
      <c r="J40" s="38" t="str">
        <f>VLOOKUP(Table3[[#This Row],[Marker Name / Summenformel]],BaseInfos_Table[],10,FALSE)</f>
        <v>n.a.</v>
      </c>
      <c r="K40" s="38">
        <f>VLOOKUP(Table3[[#This Row],[Marker Name / Summenformel]],BaseInfos_Table[],11,FALSE)</f>
        <v>0</v>
      </c>
      <c r="L40" s="10" t="str">
        <f>VLOOKUP(Table3[[#This Row],[Marker Name / Summenformel]],GHS_Table[#All],3,FALSE)</f>
        <v>n.a.</v>
      </c>
      <c r="M40" s="10" t="str">
        <f>VLOOKUP(Table3[[#This Row],[Marker Name / Summenformel]],GHS_Table[#All],4,FALSE)</f>
        <v>n.a.</v>
      </c>
      <c r="N40" s="10" t="str">
        <f>VLOOKUP(Table3[[#This Row],[Marker Name / Summenformel]],GHS_Table[#All],5,FALSE)</f>
        <v>n.a.</v>
      </c>
      <c r="O40" s="10" t="str">
        <f>VLOOKUP(Table3[[#This Row],[Marker Name / Summenformel]],GHS_Table[#All],6,FALSE)</f>
        <v>n.a.</v>
      </c>
      <c r="P40" s="38" t="str">
        <f>VLOOKUP(Table3[[#This Row],[Marker Name / Summenformel]],PhysChem_Table[],3,FALSE)</f>
        <v>n.a.</v>
      </c>
      <c r="Q40" s="38" t="str">
        <f>VLOOKUP(Table3[[#This Row],[Marker Name / Summenformel]],PhysChem_Table[],4,FALSE)</f>
        <v>n.a.</v>
      </c>
      <c r="R40" s="38" t="str">
        <f>VLOOKUP(Table3[[#This Row],[Marker Name / Summenformel]],PhysChem_Table[],5,FALSE)</f>
        <v>n.a.</v>
      </c>
      <c r="S40" s="38" t="str">
        <f>VLOOKUP(Table3[[#This Row],[Marker Name / Summenformel]],PhysChem_Table[],6,FALSE)</f>
        <v>n.a.</v>
      </c>
      <c r="T40" s="38" t="str">
        <f>VLOOKUP(Table3[[#This Row],[Marker Name / Summenformel]],PhysChem_Table[],7,FALSE)</f>
        <v>n.a.</v>
      </c>
      <c r="U40" s="38" t="str">
        <f>VLOOKUP(Table3[[#This Row],[Marker Name / Summenformel]],PhysChem_Table[],8,FALSE)</f>
        <v>n.a.</v>
      </c>
      <c r="V40" s="38" t="str">
        <f>VLOOKUP(Table3[[#This Row],[Marker Name / Summenformel]],PhysChem_Table[],9,FALSE)</f>
        <v>n.a.</v>
      </c>
      <c r="W40" s="38" t="str">
        <f>VLOOKUP(Table3[[#This Row],[Marker Name / Summenformel]],PhysChem_Table[],10,FALSE)</f>
        <v>n.a.</v>
      </c>
      <c r="X40" s="38" t="str">
        <f>VLOOKUP(Table3[[#This Row],[Marker Name / Summenformel]],PhysChem_Table[],11,FALSE)</f>
        <v>n.a.</v>
      </c>
      <c r="Y40" s="38" t="str">
        <f>VLOOKUP(Table3[[#This Row],[Marker Name / Summenformel]],PhysChem_Table[],12,FALSE)</f>
        <v>n.a.</v>
      </c>
      <c r="Z40" s="38" t="str">
        <f>VLOOKUP(Table3[[#This Row],[Marker Name / Summenformel]],PhysChem_Table[],13,FALSE)</f>
        <v>n.a.</v>
      </c>
      <c r="AA40" s="38" t="str">
        <f>VLOOKUP(Table3[[#This Row],[Marker Name / Summenformel]],PhysChem_Table[],14,FALSE)</f>
        <v>n.a.</v>
      </c>
      <c r="AB40" s="38" t="str">
        <f>VLOOKUP(Table3[[#This Row],[Marker Name / Summenformel]],PhysChem_Table[],15,FALSE)</f>
        <v>n.a.</v>
      </c>
      <c r="AC40" s="38" t="str">
        <f>VLOOKUP(Table3[[#This Row],[Marker Name / Summenformel]],PhysChem_Table[],16,FALSE)</f>
        <v>n.a.</v>
      </c>
      <c r="AD40" s="38" t="str">
        <f>VLOOKUP(Table3[[#This Row],[Marker Name / Summenformel]],PhysChem_Table[],17,FALSE)</f>
        <v>n.a.</v>
      </c>
      <c r="AE40" s="38" t="str">
        <f>VLOOKUP(Table3[[#This Row],[Marker Name / Summenformel]],PhysChem_Table[],18,FALSE)</f>
        <v>n.a.</v>
      </c>
      <c r="AF40" s="38" t="str">
        <f>VLOOKUP(Table3[[#This Row],[Marker Name / Summenformel]],PhysChem_Table[],19,FALSE)</f>
        <v>n.a.</v>
      </c>
      <c r="AG40" s="38" t="str">
        <f>VLOOKUP(Table3[[#This Row],[Marker Name / Summenformel]],PhysChem_Table[],20,FALSE)</f>
        <v>n.a.</v>
      </c>
      <c r="AH40" s="38" t="str">
        <f>VLOOKUP(Table3[[#This Row],[Marker Name / Summenformel]],PhysChem_Table[],21,FALSE)</f>
        <v>n.a.</v>
      </c>
      <c r="AI40" s="38" t="str">
        <f>VLOOKUP(Table3[[#This Row],[Marker Name / Summenformel]],PhysChem_Table[],22,FALSE)</f>
        <v>n.a.</v>
      </c>
      <c r="AJ40" s="38" t="str">
        <f>VLOOKUP(Table3[[#This Row],[Marker Name / Summenformel]],PhysChem_Table[],23,FALSE)</f>
        <v>n.a.</v>
      </c>
      <c r="AK40" s="38" t="str">
        <f>VLOOKUP(Table3[[#This Row],[Marker Name / Summenformel]],PhysChem_Table[],24,FALSE)</f>
        <v>n.a.</v>
      </c>
      <c r="AL40" s="38" t="str">
        <f>VLOOKUP(Table3[[#This Row],[Marker Name / Summenformel]],PhysChem_Table[],25,FALSE)</f>
        <v>n.a.</v>
      </c>
      <c r="AM40" s="38" t="str">
        <f>VLOOKUP(Table3[[#This Row],[Marker Name / Summenformel]],PhysChem_Table[],26,FALSE)</f>
        <v>n.a.</v>
      </c>
      <c r="AN40" s="38" t="str">
        <f>VLOOKUP(Table3[[#This Row],[Marker Name / Summenformel]],PhysChem_Table[],27,FALSE)</f>
        <v>n.a.</v>
      </c>
      <c r="AO40" s="38" t="str">
        <f>VLOOKUP(Table3[[#This Row],[Marker Name / Summenformel]],PhysChem_Table[],28,FALSE)</f>
        <v>n.a.</v>
      </c>
      <c r="AP40" s="38" t="str">
        <f>VLOOKUP(Table3[[#This Row],[Marker Name / Summenformel]],PhysChem_Table[],29,FALSE)</f>
        <v>n.a.</v>
      </c>
      <c r="AQ40" s="38" t="str">
        <f>VLOOKUP(Table3[[#This Row],[Marker Name / Summenformel]],PhysChem_Table[],30,FALSE)</f>
        <v>n.a.</v>
      </c>
      <c r="AR40" s="38" t="str">
        <f>VLOOKUP(Table3[[#This Row],[Marker Name / Summenformel]],PhysChem_Table[],31,FALSE)</f>
        <v>n.a.</v>
      </c>
      <c r="AS40" s="38" t="str">
        <f>VLOOKUP(Table3[[#This Row],[Marker Name / Summenformel]],PhysChem_Table[],32,FALSE)</f>
        <v>n.a.</v>
      </c>
      <c r="AT40" s="38" t="str">
        <f>VLOOKUP(Table3[[#This Row],[Marker Name / Summenformel]],PhysChem_Table[],33,FALSE)</f>
        <v>n.a.</v>
      </c>
      <c r="AU40" s="38" t="str">
        <f>VLOOKUP(Table3[[#This Row],[Marker Name / Summenformel]],PhysChem_Table[],34,FALSE)</f>
        <v>n.a.</v>
      </c>
      <c r="AV40" s="10">
        <f>VLOOKUP(Table3[[#This Row],[Marker Name / Summenformel]],PhysChem_Table[],35,FALSE)</f>
        <v>0</v>
      </c>
    </row>
    <row r="41" spans="1:48" ht="16.5" x14ac:dyDescent="0.3">
      <c r="A41" s="16" t="s">
        <v>701</v>
      </c>
      <c r="B41" s="38" t="str">
        <f>VLOOKUP(Table3[[#This Row],[Marker Name / Summenformel]],BaseInfos_Table[],2,FALSE)</f>
        <v>modified rare earth oxid</v>
      </c>
      <c r="C41" s="38" t="str">
        <f>VLOOKUP(Table3[[#This Row],[Marker Name / Summenformel]],BaseInfos_Table[],3,FALSE)</f>
        <v>n.a.</v>
      </c>
      <c r="D41" s="38" t="str">
        <f>VLOOKUP(Table3[[#This Row],[Marker Name / Summenformel]],BaseInfos_Table[],4,FALSE)</f>
        <v>n.a.</v>
      </c>
      <c r="E41" s="38" t="str">
        <f>VLOOKUP(Table3[[#This Row],[Marker Name / Summenformel]],BaseInfos_Table[],5,FALSE)</f>
        <v>Hossain et al., 2021 / Applied Materials today</v>
      </c>
      <c r="F41" s="38" t="str">
        <f>VLOOKUP(Table3[[#This Row],[Marker Name / Summenformel]],BaseInfos_Table[],6,FALSE)</f>
        <v>IR, UV-Vis, XRF</v>
      </c>
      <c r="G41" s="38" t="str">
        <f>VLOOKUP(Table3[[#This Row],[Marker Name / Summenformel]],BaseInfos_Table[],7,FALSE)</f>
        <v>N</v>
      </c>
      <c r="H41" s="38" t="str">
        <f>VLOOKUP(Table3[[#This Row],[Marker Name / Summenformel]],BaseInfos_Table[],8,FALSE)</f>
        <v>n.a.</v>
      </c>
      <c r="I41" s="38" t="str">
        <f>VLOOKUP(Table3[[#This Row],[Marker Name / Summenformel]],BaseInfos_Table[],9,FALSE)</f>
        <v>n.a.</v>
      </c>
      <c r="J41" s="38" t="str">
        <f>VLOOKUP(Table3[[#This Row],[Marker Name / Summenformel]],BaseInfos_Table[],10,FALSE)</f>
        <v>n.a.</v>
      </c>
      <c r="K41" s="38">
        <f>VLOOKUP(Table3[[#This Row],[Marker Name / Summenformel]],BaseInfos_Table[],11,FALSE)</f>
        <v>0</v>
      </c>
      <c r="L41" s="10" t="str">
        <f>VLOOKUP(Table3[[#This Row],[Marker Name / Summenformel]],GHS_Table[#All],3,FALSE)</f>
        <v>n.a.</v>
      </c>
      <c r="M41" s="10" t="str">
        <f>VLOOKUP(Table3[[#This Row],[Marker Name / Summenformel]],GHS_Table[#All],4,FALSE)</f>
        <v>n.a.</v>
      </c>
      <c r="N41" s="10" t="str">
        <f>VLOOKUP(Table3[[#This Row],[Marker Name / Summenformel]],GHS_Table[#All],5,FALSE)</f>
        <v>n.a.</v>
      </c>
      <c r="O41" s="10" t="str">
        <f>VLOOKUP(Table3[[#This Row],[Marker Name / Summenformel]],GHS_Table[#All],6,FALSE)</f>
        <v>n.a.</v>
      </c>
      <c r="P41" s="38" t="str">
        <f>VLOOKUP(Table3[[#This Row],[Marker Name / Summenformel]],PhysChem_Table[],3,FALSE)</f>
        <v>n.a.</v>
      </c>
      <c r="Q41" s="38" t="str">
        <f>VLOOKUP(Table3[[#This Row],[Marker Name / Summenformel]],PhysChem_Table[],4,FALSE)</f>
        <v>n.a.</v>
      </c>
      <c r="R41" s="38" t="str">
        <f>VLOOKUP(Table3[[#This Row],[Marker Name / Summenformel]],PhysChem_Table[],5,FALSE)</f>
        <v>n.a.</v>
      </c>
      <c r="S41" s="38" t="str">
        <f>VLOOKUP(Table3[[#This Row],[Marker Name / Summenformel]],PhysChem_Table[],6,FALSE)</f>
        <v>n.a.</v>
      </c>
      <c r="T41" s="38" t="str">
        <f>VLOOKUP(Table3[[#This Row],[Marker Name / Summenformel]],PhysChem_Table[],7,FALSE)</f>
        <v>n.a.</v>
      </c>
      <c r="U41" s="38" t="str">
        <f>VLOOKUP(Table3[[#This Row],[Marker Name / Summenformel]],PhysChem_Table[],8,FALSE)</f>
        <v>n.a.</v>
      </c>
      <c r="V41" s="38" t="str">
        <f>VLOOKUP(Table3[[#This Row],[Marker Name / Summenformel]],PhysChem_Table[],9,FALSE)</f>
        <v>n.a.</v>
      </c>
      <c r="W41" s="38" t="str">
        <f>VLOOKUP(Table3[[#This Row],[Marker Name / Summenformel]],PhysChem_Table[],10,FALSE)</f>
        <v>n.a.</v>
      </c>
      <c r="X41" s="38" t="str">
        <f>VLOOKUP(Table3[[#This Row],[Marker Name / Summenformel]],PhysChem_Table[],11,FALSE)</f>
        <v>n.a.</v>
      </c>
      <c r="Y41" s="38" t="str">
        <f>VLOOKUP(Table3[[#This Row],[Marker Name / Summenformel]],PhysChem_Table[],12,FALSE)</f>
        <v>n.a.</v>
      </c>
      <c r="Z41" s="38" t="str">
        <f>VLOOKUP(Table3[[#This Row],[Marker Name / Summenformel]],PhysChem_Table[],13,FALSE)</f>
        <v>n.a.</v>
      </c>
      <c r="AA41" s="38" t="str">
        <f>VLOOKUP(Table3[[#This Row],[Marker Name / Summenformel]],PhysChem_Table[],14,FALSE)</f>
        <v>n.a.</v>
      </c>
      <c r="AB41" s="38" t="str">
        <f>VLOOKUP(Table3[[#This Row],[Marker Name / Summenformel]],PhysChem_Table[],15,FALSE)</f>
        <v>n.a.</v>
      </c>
      <c r="AC41" s="38" t="str">
        <f>VLOOKUP(Table3[[#This Row],[Marker Name / Summenformel]],PhysChem_Table[],16,FALSE)</f>
        <v>n.a.</v>
      </c>
      <c r="AD41" s="38" t="str">
        <f>VLOOKUP(Table3[[#This Row],[Marker Name / Summenformel]],PhysChem_Table[],17,FALSE)</f>
        <v>n.a.</v>
      </c>
      <c r="AE41" s="38" t="str">
        <f>VLOOKUP(Table3[[#This Row],[Marker Name / Summenformel]],PhysChem_Table[],18,FALSE)</f>
        <v>n.a.</v>
      </c>
      <c r="AF41" s="38" t="str">
        <f>VLOOKUP(Table3[[#This Row],[Marker Name / Summenformel]],PhysChem_Table[],19,FALSE)</f>
        <v>n.a.</v>
      </c>
      <c r="AG41" s="38" t="str">
        <f>VLOOKUP(Table3[[#This Row],[Marker Name / Summenformel]],PhysChem_Table[],20,FALSE)</f>
        <v>n.a.</v>
      </c>
      <c r="AH41" s="38" t="str">
        <f>VLOOKUP(Table3[[#This Row],[Marker Name / Summenformel]],PhysChem_Table[],21,FALSE)</f>
        <v>n.a.</v>
      </c>
      <c r="AI41" s="38" t="str">
        <f>VLOOKUP(Table3[[#This Row],[Marker Name / Summenformel]],PhysChem_Table[],22,FALSE)</f>
        <v>n.a.</v>
      </c>
      <c r="AJ41" s="38" t="str">
        <f>VLOOKUP(Table3[[#This Row],[Marker Name / Summenformel]],PhysChem_Table[],23,FALSE)</f>
        <v>n.a.</v>
      </c>
      <c r="AK41" s="38" t="str">
        <f>VLOOKUP(Table3[[#This Row],[Marker Name / Summenformel]],PhysChem_Table[],24,FALSE)</f>
        <v>n.a.</v>
      </c>
      <c r="AL41" s="38" t="str">
        <f>VLOOKUP(Table3[[#This Row],[Marker Name / Summenformel]],PhysChem_Table[],25,FALSE)</f>
        <v>n.a.</v>
      </c>
      <c r="AM41" s="38" t="str">
        <f>VLOOKUP(Table3[[#This Row],[Marker Name / Summenformel]],PhysChem_Table[],26,FALSE)</f>
        <v>n.a.</v>
      </c>
      <c r="AN41" s="38" t="str">
        <f>VLOOKUP(Table3[[#This Row],[Marker Name / Summenformel]],PhysChem_Table[],27,FALSE)</f>
        <v>n.a.</v>
      </c>
      <c r="AO41" s="38" t="str">
        <f>VLOOKUP(Table3[[#This Row],[Marker Name / Summenformel]],PhysChem_Table[],28,FALSE)</f>
        <v>n.a.</v>
      </c>
      <c r="AP41" s="38" t="str">
        <f>VLOOKUP(Table3[[#This Row],[Marker Name / Summenformel]],PhysChem_Table[],29,FALSE)</f>
        <v>n.a.</v>
      </c>
      <c r="AQ41" s="38" t="str">
        <f>VLOOKUP(Table3[[#This Row],[Marker Name / Summenformel]],PhysChem_Table[],30,FALSE)</f>
        <v>n.a.</v>
      </c>
      <c r="AR41" s="38" t="str">
        <f>VLOOKUP(Table3[[#This Row],[Marker Name / Summenformel]],PhysChem_Table[],31,FALSE)</f>
        <v>n.a.</v>
      </c>
      <c r="AS41" s="38" t="str">
        <f>VLOOKUP(Table3[[#This Row],[Marker Name / Summenformel]],PhysChem_Table[],32,FALSE)</f>
        <v>n.a.</v>
      </c>
      <c r="AT41" s="38" t="str">
        <f>VLOOKUP(Table3[[#This Row],[Marker Name / Summenformel]],PhysChem_Table[],33,FALSE)</f>
        <v>n.a.</v>
      </c>
      <c r="AU41" s="38" t="str">
        <f>VLOOKUP(Table3[[#This Row],[Marker Name / Summenformel]],PhysChem_Table[],34,FALSE)</f>
        <v>n.a.</v>
      </c>
      <c r="AV41" s="10">
        <f>VLOOKUP(Table3[[#This Row],[Marker Name / Summenformel]],PhysChem_Table[],35,FALSE)</f>
        <v>0</v>
      </c>
    </row>
    <row r="42" spans="1:48" ht="16.5" x14ac:dyDescent="0.3">
      <c r="A42" s="16" t="s">
        <v>702</v>
      </c>
      <c r="B42" s="38" t="str">
        <f>VLOOKUP(Table3[[#This Row],[Marker Name / Summenformel]],BaseInfos_Table[],2,FALSE)</f>
        <v>modified rare earth oxid</v>
      </c>
      <c r="C42" s="38" t="str">
        <f>VLOOKUP(Table3[[#This Row],[Marker Name / Summenformel]],BaseInfos_Table[],3,FALSE)</f>
        <v>n.a.</v>
      </c>
      <c r="D42" s="38" t="str">
        <f>VLOOKUP(Table3[[#This Row],[Marker Name / Summenformel]],BaseInfos_Table[],4,FALSE)</f>
        <v>n.a.</v>
      </c>
      <c r="E42" s="38" t="str">
        <f>VLOOKUP(Table3[[#This Row],[Marker Name / Summenformel]],BaseInfos_Table[],5,FALSE)</f>
        <v>Hossain et al., 2021 / Applied Materials today</v>
      </c>
      <c r="F42" s="38" t="str">
        <f>VLOOKUP(Table3[[#This Row],[Marker Name / Summenformel]],BaseInfos_Table[],6,FALSE)</f>
        <v>IR, UV-Vis, XRF</v>
      </c>
      <c r="G42" s="38" t="str">
        <f>VLOOKUP(Table3[[#This Row],[Marker Name / Summenformel]],BaseInfos_Table[],7,FALSE)</f>
        <v>N</v>
      </c>
      <c r="H42" s="38" t="str">
        <f>VLOOKUP(Table3[[#This Row],[Marker Name / Summenformel]],BaseInfos_Table[],8,FALSE)</f>
        <v>n.a.</v>
      </c>
      <c r="I42" s="38" t="str">
        <f>VLOOKUP(Table3[[#This Row],[Marker Name / Summenformel]],BaseInfos_Table[],9,FALSE)</f>
        <v>n.a.</v>
      </c>
      <c r="J42" s="38" t="str">
        <f>VLOOKUP(Table3[[#This Row],[Marker Name / Summenformel]],BaseInfos_Table[],10,FALSE)</f>
        <v>n.a.</v>
      </c>
      <c r="K42" s="38">
        <f>VLOOKUP(Table3[[#This Row],[Marker Name / Summenformel]],BaseInfos_Table[],11,FALSE)</f>
        <v>0</v>
      </c>
      <c r="L42" s="10" t="str">
        <f>VLOOKUP(Table3[[#This Row],[Marker Name / Summenformel]],GHS_Table[#All],3,FALSE)</f>
        <v>n.a.</v>
      </c>
      <c r="M42" s="10" t="str">
        <f>VLOOKUP(Table3[[#This Row],[Marker Name / Summenformel]],GHS_Table[#All],4,FALSE)</f>
        <v>n.a.</v>
      </c>
      <c r="N42" s="10" t="str">
        <f>VLOOKUP(Table3[[#This Row],[Marker Name / Summenformel]],GHS_Table[#All],5,FALSE)</f>
        <v>n.a.</v>
      </c>
      <c r="O42" s="10" t="str">
        <f>VLOOKUP(Table3[[#This Row],[Marker Name / Summenformel]],GHS_Table[#All],6,FALSE)</f>
        <v>n.a.</v>
      </c>
      <c r="P42" s="38" t="str">
        <f>VLOOKUP(Table3[[#This Row],[Marker Name / Summenformel]],PhysChem_Table[],3,FALSE)</f>
        <v>n.a.</v>
      </c>
      <c r="Q42" s="38" t="str">
        <f>VLOOKUP(Table3[[#This Row],[Marker Name / Summenformel]],PhysChem_Table[],4,FALSE)</f>
        <v>n.a.</v>
      </c>
      <c r="R42" s="38" t="str">
        <f>VLOOKUP(Table3[[#This Row],[Marker Name / Summenformel]],PhysChem_Table[],5,FALSE)</f>
        <v>n.a.</v>
      </c>
      <c r="S42" s="38" t="str">
        <f>VLOOKUP(Table3[[#This Row],[Marker Name / Summenformel]],PhysChem_Table[],6,FALSE)</f>
        <v>n.a.</v>
      </c>
      <c r="T42" s="38" t="str">
        <f>VLOOKUP(Table3[[#This Row],[Marker Name / Summenformel]],PhysChem_Table[],7,FALSE)</f>
        <v>n.a.</v>
      </c>
      <c r="U42" s="38" t="str">
        <f>VLOOKUP(Table3[[#This Row],[Marker Name / Summenformel]],PhysChem_Table[],8,FALSE)</f>
        <v>n.a.</v>
      </c>
      <c r="V42" s="38" t="str">
        <f>VLOOKUP(Table3[[#This Row],[Marker Name / Summenformel]],PhysChem_Table[],9,FALSE)</f>
        <v>n.a.</v>
      </c>
      <c r="W42" s="38" t="str">
        <f>VLOOKUP(Table3[[#This Row],[Marker Name / Summenformel]],PhysChem_Table[],10,FALSE)</f>
        <v>n.a.</v>
      </c>
      <c r="X42" s="38" t="str">
        <f>VLOOKUP(Table3[[#This Row],[Marker Name / Summenformel]],PhysChem_Table[],11,FALSE)</f>
        <v>n.a.</v>
      </c>
      <c r="Y42" s="38" t="str">
        <f>VLOOKUP(Table3[[#This Row],[Marker Name / Summenformel]],PhysChem_Table[],12,FALSE)</f>
        <v>n.a.</v>
      </c>
      <c r="Z42" s="38" t="str">
        <f>VLOOKUP(Table3[[#This Row],[Marker Name / Summenformel]],PhysChem_Table[],13,FALSE)</f>
        <v>n.a.</v>
      </c>
      <c r="AA42" s="38" t="str">
        <f>VLOOKUP(Table3[[#This Row],[Marker Name / Summenformel]],PhysChem_Table[],14,FALSE)</f>
        <v>n.a.</v>
      </c>
      <c r="AB42" s="38" t="str">
        <f>VLOOKUP(Table3[[#This Row],[Marker Name / Summenformel]],PhysChem_Table[],15,FALSE)</f>
        <v>n.a.</v>
      </c>
      <c r="AC42" s="38" t="str">
        <f>VLOOKUP(Table3[[#This Row],[Marker Name / Summenformel]],PhysChem_Table[],16,FALSE)</f>
        <v>n.a.</v>
      </c>
      <c r="AD42" s="38" t="str">
        <f>VLOOKUP(Table3[[#This Row],[Marker Name / Summenformel]],PhysChem_Table[],17,FALSE)</f>
        <v>n.a.</v>
      </c>
      <c r="AE42" s="38" t="str">
        <f>VLOOKUP(Table3[[#This Row],[Marker Name / Summenformel]],PhysChem_Table[],18,FALSE)</f>
        <v>n.a.</v>
      </c>
      <c r="AF42" s="38" t="str">
        <f>VLOOKUP(Table3[[#This Row],[Marker Name / Summenformel]],PhysChem_Table[],19,FALSE)</f>
        <v>n.a.</v>
      </c>
      <c r="AG42" s="38" t="str">
        <f>VLOOKUP(Table3[[#This Row],[Marker Name / Summenformel]],PhysChem_Table[],20,FALSE)</f>
        <v>n.a.</v>
      </c>
      <c r="AH42" s="38" t="str">
        <f>VLOOKUP(Table3[[#This Row],[Marker Name / Summenformel]],PhysChem_Table[],21,FALSE)</f>
        <v>n.a.</v>
      </c>
      <c r="AI42" s="38" t="str">
        <f>VLOOKUP(Table3[[#This Row],[Marker Name / Summenformel]],PhysChem_Table[],22,FALSE)</f>
        <v>n.a.</v>
      </c>
      <c r="AJ42" s="38" t="str">
        <f>VLOOKUP(Table3[[#This Row],[Marker Name / Summenformel]],PhysChem_Table[],23,FALSE)</f>
        <v>n.a.</v>
      </c>
      <c r="AK42" s="38" t="str">
        <f>VLOOKUP(Table3[[#This Row],[Marker Name / Summenformel]],PhysChem_Table[],24,FALSE)</f>
        <v>n.a.</v>
      </c>
      <c r="AL42" s="38" t="str">
        <f>VLOOKUP(Table3[[#This Row],[Marker Name / Summenformel]],PhysChem_Table[],25,FALSE)</f>
        <v>n.a.</v>
      </c>
      <c r="AM42" s="38" t="str">
        <f>VLOOKUP(Table3[[#This Row],[Marker Name / Summenformel]],PhysChem_Table[],26,FALSE)</f>
        <v>n.a.</v>
      </c>
      <c r="AN42" s="38" t="str">
        <f>VLOOKUP(Table3[[#This Row],[Marker Name / Summenformel]],PhysChem_Table[],27,FALSE)</f>
        <v>n.a.</v>
      </c>
      <c r="AO42" s="38" t="str">
        <f>VLOOKUP(Table3[[#This Row],[Marker Name / Summenformel]],PhysChem_Table[],28,FALSE)</f>
        <v>n.a.</v>
      </c>
      <c r="AP42" s="38" t="str">
        <f>VLOOKUP(Table3[[#This Row],[Marker Name / Summenformel]],PhysChem_Table[],29,FALSE)</f>
        <v>n.a.</v>
      </c>
      <c r="AQ42" s="38" t="str">
        <f>VLOOKUP(Table3[[#This Row],[Marker Name / Summenformel]],PhysChem_Table[],30,FALSE)</f>
        <v>n.a.</v>
      </c>
      <c r="AR42" s="38" t="str">
        <f>VLOOKUP(Table3[[#This Row],[Marker Name / Summenformel]],PhysChem_Table[],31,FALSE)</f>
        <v>n.a.</v>
      </c>
      <c r="AS42" s="38" t="str">
        <f>VLOOKUP(Table3[[#This Row],[Marker Name / Summenformel]],PhysChem_Table[],32,FALSE)</f>
        <v>n.a.</v>
      </c>
      <c r="AT42" s="38" t="str">
        <f>VLOOKUP(Table3[[#This Row],[Marker Name / Summenformel]],PhysChem_Table[],33,FALSE)</f>
        <v>n.a.</v>
      </c>
      <c r="AU42" s="38" t="str">
        <f>VLOOKUP(Table3[[#This Row],[Marker Name / Summenformel]],PhysChem_Table[],34,FALSE)</f>
        <v>n.a.</v>
      </c>
      <c r="AV42" s="10">
        <f>VLOOKUP(Table3[[#This Row],[Marker Name / Summenformel]],PhysChem_Table[],35,FALSE)</f>
        <v>0</v>
      </c>
    </row>
    <row r="43" spans="1:48" ht="15.6" customHeight="1" x14ac:dyDescent="0.3">
      <c r="A43" s="16" t="s">
        <v>703</v>
      </c>
      <c r="B43" s="38" t="str">
        <f>VLOOKUP(Table3[[#This Row],[Marker Name / Summenformel]],BaseInfos_Table[],2,FALSE)</f>
        <v>rare earth oxid</v>
      </c>
      <c r="C43" s="38" t="str">
        <f>VLOOKUP(Table3[[#This Row],[Marker Name / Summenformel]],BaseInfos_Table[],3,FALSE)</f>
        <v>12024-21-4</v>
      </c>
      <c r="D43" s="38" t="str">
        <f>VLOOKUP(Table3[[#This Row],[Marker Name / Summenformel]],BaseInfos_Table[],4,FALSE)</f>
        <v>234-691-7</v>
      </c>
      <c r="E43" s="38" t="str">
        <f>VLOOKUP(Table3[[#This Row],[Marker Name / Summenformel]],BaseInfos_Table[],5,FALSE)</f>
        <v>Knight et al., 2015 / ACS Nano</v>
      </c>
      <c r="F43" s="38" t="str">
        <f>VLOOKUP(Table3[[#This Row],[Marker Name / Summenformel]],BaseInfos_Table[],6,FALSE)</f>
        <v>IR, UV-Vis, XRF</v>
      </c>
      <c r="G43" s="38" t="str">
        <f>VLOOKUP(Table3[[#This Row],[Marker Name / Summenformel]],BaseInfos_Table[],7,FALSE)</f>
        <v>Y</v>
      </c>
      <c r="H43" s="38" t="str">
        <f>VLOOKUP(Table3[[#This Row],[Marker Name / Summenformel]],BaseInfos_Table[],8,FALSE)</f>
        <v>n.a.</v>
      </c>
      <c r="I43" s="38" t="str">
        <f>VLOOKUP(Table3[[#This Row],[Marker Name / Summenformel]],BaseInfos_Table[],9,FALSE)</f>
        <v>https://echa.europa.eu/de/substance-information/-/substanceinfo/100.031.525</v>
      </c>
      <c r="J43" s="38" t="str">
        <f>VLOOKUP(Table3[[#This Row],[Marker Name / Summenformel]],BaseInfos_Table[],10,FALSE)</f>
        <v>https://www.sigmaaldrich.com/AT/de/product/aldrich/215066</v>
      </c>
      <c r="K43" s="38">
        <f>VLOOKUP(Table3[[#This Row],[Marker Name / Summenformel]],BaseInfos_Table[],11,FALSE)</f>
        <v>0</v>
      </c>
      <c r="L43" s="10" t="str">
        <f>VLOOKUP(Table3[[#This Row],[Marker Name / Summenformel]],GHS_Table[#All],3,FALSE)</f>
        <v>CLP</v>
      </c>
      <c r="M43" s="10" t="str">
        <f>VLOOKUP(Table3[[#This Row],[Marker Name / Summenformel]],GHS_Table[#All],4,FALSE)</f>
        <v>n.a.</v>
      </c>
      <c r="N43" s="10">
        <f>VLOOKUP(Table3[[#This Row],[Marker Name / Summenformel]],GHS_Table[#All],5,FALSE)</f>
        <v>4</v>
      </c>
      <c r="O43" s="10">
        <f>VLOOKUP(Table3[[#This Row],[Marker Name / Summenformel]],GHS_Table[#All],6,FALSE)</f>
        <v>0</v>
      </c>
      <c r="P43" s="38" t="str">
        <f>VLOOKUP(Table3[[#This Row],[Marker Name / Summenformel]],PhysChem_Table[],3,FALSE)</f>
        <v>n.a.</v>
      </c>
      <c r="Q43" s="38" t="str">
        <f>VLOOKUP(Table3[[#This Row],[Marker Name / Summenformel]],PhysChem_Table[],4,FALSE)</f>
        <v>n.a.</v>
      </c>
      <c r="R43" s="38" t="str">
        <f>VLOOKUP(Table3[[#This Row],[Marker Name / Summenformel]],PhysChem_Table[],5,FALSE)</f>
        <v>n.a.</v>
      </c>
      <c r="S43" s="38" t="str">
        <f>VLOOKUP(Table3[[#This Row],[Marker Name / Summenformel]],PhysChem_Table[],6,FALSE)</f>
        <v>n.a.</v>
      </c>
      <c r="T43" s="38" t="str">
        <f>VLOOKUP(Table3[[#This Row],[Marker Name / Summenformel]],PhysChem_Table[],7,FALSE)</f>
        <v>n.a.</v>
      </c>
      <c r="U43" s="38" t="str">
        <f>VLOOKUP(Table3[[#This Row],[Marker Name / Summenformel]],PhysChem_Table[],8,FALSE)</f>
        <v>n.a.</v>
      </c>
      <c r="V43" s="38" t="str">
        <f>VLOOKUP(Table3[[#This Row],[Marker Name / Summenformel]],PhysChem_Table[],9,FALSE)</f>
        <v>n.a.</v>
      </c>
      <c r="W43" s="38" t="str">
        <f>VLOOKUP(Table3[[#This Row],[Marker Name / Summenformel]],PhysChem_Table[],10,FALSE)</f>
        <v>n.a.</v>
      </c>
      <c r="X43" s="38" t="str">
        <f>VLOOKUP(Table3[[#This Row],[Marker Name / Summenformel]],PhysChem_Table[],11,FALSE)</f>
        <v>n.a.</v>
      </c>
      <c r="Y43" s="38" t="str">
        <f>VLOOKUP(Table3[[#This Row],[Marker Name / Summenformel]],PhysChem_Table[],12,FALSE)</f>
        <v>n.a.</v>
      </c>
      <c r="Z43" s="38" t="str">
        <f>VLOOKUP(Table3[[#This Row],[Marker Name / Summenformel]],PhysChem_Table[],13,FALSE)</f>
        <v>n.a.</v>
      </c>
      <c r="AA43" s="38" t="str">
        <f>VLOOKUP(Table3[[#This Row],[Marker Name / Summenformel]],PhysChem_Table[],14,FALSE)</f>
        <v>n.a.</v>
      </c>
      <c r="AB43" s="38" t="str">
        <f>VLOOKUP(Table3[[#This Row],[Marker Name / Summenformel]],PhysChem_Table[],15,FALSE)</f>
        <v>n.a.</v>
      </c>
      <c r="AC43" s="38" t="str">
        <f>VLOOKUP(Table3[[#This Row],[Marker Name / Summenformel]],PhysChem_Table[],16,FALSE)</f>
        <v>n.a.</v>
      </c>
      <c r="AD43" s="38" t="str">
        <f>VLOOKUP(Table3[[#This Row],[Marker Name / Summenformel]],PhysChem_Table[],17,FALSE)</f>
        <v>n.a.</v>
      </c>
      <c r="AE43" s="38" t="str">
        <f>VLOOKUP(Table3[[#This Row],[Marker Name / Summenformel]],PhysChem_Table[],18,FALSE)</f>
        <v>n.a.</v>
      </c>
      <c r="AF43" s="38" t="str">
        <f>VLOOKUP(Table3[[#This Row],[Marker Name / Summenformel]],PhysChem_Table[],19,FALSE)</f>
        <v>n.a.</v>
      </c>
      <c r="AG43" s="38" t="str">
        <f>VLOOKUP(Table3[[#This Row],[Marker Name / Summenformel]],PhysChem_Table[],20,FALSE)</f>
        <v>n.a.</v>
      </c>
      <c r="AH43" s="38" t="str">
        <f>VLOOKUP(Table3[[#This Row],[Marker Name / Summenformel]],PhysChem_Table[],21,FALSE)</f>
        <v>n.a.</v>
      </c>
      <c r="AI43" s="38" t="str">
        <f>VLOOKUP(Table3[[#This Row],[Marker Name / Summenformel]],PhysChem_Table[],22,FALSE)</f>
        <v>n.a.</v>
      </c>
      <c r="AJ43" s="38" t="str">
        <f>VLOOKUP(Table3[[#This Row],[Marker Name / Summenformel]],PhysChem_Table[],23,FALSE)</f>
        <v>n.a.</v>
      </c>
      <c r="AK43" s="38" t="str">
        <f>VLOOKUP(Table3[[#This Row],[Marker Name / Summenformel]],PhysChem_Table[],24,FALSE)</f>
        <v>n.a.</v>
      </c>
      <c r="AL43" s="38" t="str">
        <f>VLOOKUP(Table3[[#This Row],[Marker Name / Summenformel]],PhysChem_Table[],25,FALSE)</f>
        <v>n.a.</v>
      </c>
      <c r="AM43" s="38" t="str">
        <f>VLOOKUP(Table3[[#This Row],[Marker Name / Summenformel]],PhysChem_Table[],26,FALSE)</f>
        <v>n.a.</v>
      </c>
      <c r="AN43" s="38" t="str">
        <f>VLOOKUP(Table3[[#This Row],[Marker Name / Summenformel]],PhysChem_Table[],27,FALSE)</f>
        <v>n.a.</v>
      </c>
      <c r="AO43" s="38" t="str">
        <f>VLOOKUP(Table3[[#This Row],[Marker Name / Summenformel]],PhysChem_Table[],28,FALSE)</f>
        <v>n.a.</v>
      </c>
      <c r="AP43" s="38" t="str">
        <f>VLOOKUP(Table3[[#This Row],[Marker Name / Summenformel]],PhysChem_Table[],29,FALSE)</f>
        <v>n.a.</v>
      </c>
      <c r="AQ43" s="38" t="str">
        <f>VLOOKUP(Table3[[#This Row],[Marker Name / Summenformel]],PhysChem_Table[],30,FALSE)</f>
        <v>n.a.</v>
      </c>
      <c r="AR43" s="38" t="str">
        <f>VLOOKUP(Table3[[#This Row],[Marker Name / Summenformel]],PhysChem_Table[],31,FALSE)</f>
        <v>n.a.</v>
      </c>
      <c r="AS43" s="38" t="str">
        <f>VLOOKUP(Table3[[#This Row],[Marker Name / Summenformel]],PhysChem_Table[],32,FALSE)</f>
        <v>n.a.</v>
      </c>
      <c r="AT43" s="38" t="str">
        <f>VLOOKUP(Table3[[#This Row],[Marker Name / Summenformel]],PhysChem_Table[],33,FALSE)</f>
        <v>n.a.</v>
      </c>
      <c r="AU43" s="38" t="str">
        <f>VLOOKUP(Table3[[#This Row],[Marker Name / Summenformel]],PhysChem_Table[],34,FALSE)</f>
        <v>n.a.</v>
      </c>
      <c r="AV43" s="10">
        <f>VLOOKUP(Table3[[#This Row],[Marker Name / Summenformel]],PhysChem_Table[],35,FALSE)</f>
        <v>0</v>
      </c>
    </row>
    <row r="44" spans="1:48" ht="16.5" x14ac:dyDescent="0.3">
      <c r="A44" s="16" t="s">
        <v>704</v>
      </c>
      <c r="B44" s="38" t="str">
        <f>VLOOKUP(Table3[[#This Row],[Marker Name / Summenformel]],BaseInfos_Table[],2,FALSE)</f>
        <v>modified rare earth oxid</v>
      </c>
      <c r="C44" s="38" t="str">
        <f>VLOOKUP(Table3[[#This Row],[Marker Name / Summenformel]],BaseInfos_Table[],3,FALSE)</f>
        <v>n.a.</v>
      </c>
      <c r="D44" s="38" t="str">
        <f>VLOOKUP(Table3[[#This Row],[Marker Name / Summenformel]],BaseInfos_Table[],4,FALSE)</f>
        <v>n.a.</v>
      </c>
      <c r="E44" s="38" t="str">
        <f>VLOOKUP(Table3[[#This Row],[Marker Name / Summenformel]],BaseInfos_Table[],5,FALSE)</f>
        <v>Mariscal-Becerra et al., 2020 / Optical Materials</v>
      </c>
      <c r="F44" s="38" t="str">
        <f>VLOOKUP(Table3[[#This Row],[Marker Name / Summenformel]],BaseInfos_Table[],6,FALSE)</f>
        <v>IR, UV-Vis, XRF</v>
      </c>
      <c r="G44" s="38" t="str">
        <f>VLOOKUP(Table3[[#This Row],[Marker Name / Summenformel]],BaseInfos_Table[],7,FALSE)</f>
        <v>N</v>
      </c>
      <c r="H44" s="38" t="str">
        <f>VLOOKUP(Table3[[#This Row],[Marker Name / Summenformel]],BaseInfos_Table[],8,FALSE)</f>
        <v>n.a.</v>
      </c>
      <c r="I44" s="38" t="str">
        <f>VLOOKUP(Table3[[#This Row],[Marker Name / Summenformel]],BaseInfos_Table[],9,FALSE)</f>
        <v>n.a.</v>
      </c>
      <c r="J44" s="38" t="str">
        <f>VLOOKUP(Table3[[#This Row],[Marker Name / Summenformel]],BaseInfos_Table[],10,FALSE)</f>
        <v>n.a.</v>
      </c>
      <c r="K44" s="38">
        <f>VLOOKUP(Table3[[#This Row],[Marker Name / Summenformel]],BaseInfos_Table[],11,FALSE)</f>
        <v>0</v>
      </c>
      <c r="L44" s="10" t="str">
        <f>VLOOKUP(Table3[[#This Row],[Marker Name / Summenformel]],GHS_Table[#All],3,FALSE)</f>
        <v>n.a.</v>
      </c>
      <c r="M44" s="10" t="str">
        <f>VLOOKUP(Table3[[#This Row],[Marker Name / Summenformel]],GHS_Table[#All],4,FALSE)</f>
        <v>n.a.</v>
      </c>
      <c r="N44" s="10" t="str">
        <f>VLOOKUP(Table3[[#This Row],[Marker Name / Summenformel]],GHS_Table[#All],5,FALSE)</f>
        <v>n.a.</v>
      </c>
      <c r="O44" s="10" t="str">
        <f>VLOOKUP(Table3[[#This Row],[Marker Name / Summenformel]],GHS_Table[#All],6,FALSE)</f>
        <v>n.a.</v>
      </c>
      <c r="P44" s="38" t="str">
        <f>VLOOKUP(Table3[[#This Row],[Marker Name / Summenformel]],PhysChem_Table[],3,FALSE)</f>
        <v>n.a.</v>
      </c>
      <c r="Q44" s="38" t="str">
        <f>VLOOKUP(Table3[[#This Row],[Marker Name / Summenformel]],PhysChem_Table[],4,FALSE)</f>
        <v>n.a.</v>
      </c>
      <c r="R44" s="38" t="str">
        <f>VLOOKUP(Table3[[#This Row],[Marker Name / Summenformel]],PhysChem_Table[],5,FALSE)</f>
        <v>n.a.</v>
      </c>
      <c r="S44" s="38" t="str">
        <f>VLOOKUP(Table3[[#This Row],[Marker Name / Summenformel]],PhysChem_Table[],6,FALSE)</f>
        <v>n.a.</v>
      </c>
      <c r="T44" s="38" t="str">
        <f>VLOOKUP(Table3[[#This Row],[Marker Name / Summenformel]],PhysChem_Table[],7,FALSE)</f>
        <v>n.a.</v>
      </c>
      <c r="U44" s="38" t="str">
        <f>VLOOKUP(Table3[[#This Row],[Marker Name / Summenformel]],PhysChem_Table[],8,FALSE)</f>
        <v>n.a.</v>
      </c>
      <c r="V44" s="38" t="str">
        <f>VLOOKUP(Table3[[#This Row],[Marker Name / Summenformel]],PhysChem_Table[],9,FALSE)</f>
        <v>n.a.</v>
      </c>
      <c r="W44" s="38" t="str">
        <f>VLOOKUP(Table3[[#This Row],[Marker Name / Summenformel]],PhysChem_Table[],10,FALSE)</f>
        <v>n.a.</v>
      </c>
      <c r="X44" s="38" t="str">
        <f>VLOOKUP(Table3[[#This Row],[Marker Name / Summenformel]],PhysChem_Table[],11,FALSE)</f>
        <v>n.a.</v>
      </c>
      <c r="Y44" s="38" t="str">
        <f>VLOOKUP(Table3[[#This Row],[Marker Name / Summenformel]],PhysChem_Table[],12,FALSE)</f>
        <v>n.a.</v>
      </c>
      <c r="Z44" s="38" t="str">
        <f>VLOOKUP(Table3[[#This Row],[Marker Name / Summenformel]],PhysChem_Table[],13,FALSE)</f>
        <v>n.a.</v>
      </c>
      <c r="AA44" s="38" t="str">
        <f>VLOOKUP(Table3[[#This Row],[Marker Name / Summenformel]],PhysChem_Table[],14,FALSE)</f>
        <v>n.a.</v>
      </c>
      <c r="AB44" s="38" t="str">
        <f>VLOOKUP(Table3[[#This Row],[Marker Name / Summenformel]],PhysChem_Table[],15,FALSE)</f>
        <v>n.a.</v>
      </c>
      <c r="AC44" s="38" t="str">
        <f>VLOOKUP(Table3[[#This Row],[Marker Name / Summenformel]],PhysChem_Table[],16,FALSE)</f>
        <v>n.a.</v>
      </c>
      <c r="AD44" s="38" t="str">
        <f>VLOOKUP(Table3[[#This Row],[Marker Name / Summenformel]],PhysChem_Table[],17,FALSE)</f>
        <v>n.a.</v>
      </c>
      <c r="AE44" s="38" t="str">
        <f>VLOOKUP(Table3[[#This Row],[Marker Name / Summenformel]],PhysChem_Table[],18,FALSE)</f>
        <v>n.a.</v>
      </c>
      <c r="AF44" s="38" t="str">
        <f>VLOOKUP(Table3[[#This Row],[Marker Name / Summenformel]],PhysChem_Table[],19,FALSE)</f>
        <v>n.a.</v>
      </c>
      <c r="AG44" s="38" t="str">
        <f>VLOOKUP(Table3[[#This Row],[Marker Name / Summenformel]],PhysChem_Table[],20,FALSE)</f>
        <v>n.a.</v>
      </c>
      <c r="AH44" s="38" t="str">
        <f>VLOOKUP(Table3[[#This Row],[Marker Name / Summenformel]],PhysChem_Table[],21,FALSE)</f>
        <v>n.a.</v>
      </c>
      <c r="AI44" s="38" t="str">
        <f>VLOOKUP(Table3[[#This Row],[Marker Name / Summenformel]],PhysChem_Table[],22,FALSE)</f>
        <v>n.a.</v>
      </c>
      <c r="AJ44" s="38" t="str">
        <f>VLOOKUP(Table3[[#This Row],[Marker Name / Summenformel]],PhysChem_Table[],23,FALSE)</f>
        <v>n.a.</v>
      </c>
      <c r="AK44" s="38" t="str">
        <f>VLOOKUP(Table3[[#This Row],[Marker Name / Summenformel]],PhysChem_Table[],24,FALSE)</f>
        <v>n.a.</v>
      </c>
      <c r="AL44" s="38" t="str">
        <f>VLOOKUP(Table3[[#This Row],[Marker Name / Summenformel]],PhysChem_Table[],25,FALSE)</f>
        <v>n.a.</v>
      </c>
      <c r="AM44" s="38" t="str">
        <f>VLOOKUP(Table3[[#This Row],[Marker Name / Summenformel]],PhysChem_Table[],26,FALSE)</f>
        <v>n.a.</v>
      </c>
      <c r="AN44" s="38" t="str">
        <f>VLOOKUP(Table3[[#This Row],[Marker Name / Summenformel]],PhysChem_Table[],27,FALSE)</f>
        <v>n.a.</v>
      </c>
      <c r="AO44" s="38" t="str">
        <f>VLOOKUP(Table3[[#This Row],[Marker Name / Summenformel]],PhysChem_Table[],28,FALSE)</f>
        <v>n.a.</v>
      </c>
      <c r="AP44" s="38" t="str">
        <f>VLOOKUP(Table3[[#This Row],[Marker Name / Summenformel]],PhysChem_Table[],29,FALSE)</f>
        <v>n.a.</v>
      </c>
      <c r="AQ44" s="38" t="str">
        <f>VLOOKUP(Table3[[#This Row],[Marker Name / Summenformel]],PhysChem_Table[],30,FALSE)</f>
        <v>n.a.</v>
      </c>
      <c r="AR44" s="38" t="str">
        <f>VLOOKUP(Table3[[#This Row],[Marker Name / Summenformel]],PhysChem_Table[],31,FALSE)</f>
        <v>n.a.</v>
      </c>
      <c r="AS44" s="38" t="str">
        <f>VLOOKUP(Table3[[#This Row],[Marker Name / Summenformel]],PhysChem_Table[],32,FALSE)</f>
        <v>n.a.</v>
      </c>
      <c r="AT44" s="38" t="str">
        <f>VLOOKUP(Table3[[#This Row],[Marker Name / Summenformel]],PhysChem_Table[],33,FALSE)</f>
        <v>n.a.</v>
      </c>
      <c r="AU44" s="38" t="str">
        <f>VLOOKUP(Table3[[#This Row],[Marker Name / Summenformel]],PhysChem_Table[],34,FALSE)</f>
        <v>n.a.</v>
      </c>
      <c r="AV44" s="10">
        <f>VLOOKUP(Table3[[#This Row],[Marker Name / Summenformel]],PhysChem_Table[],35,FALSE)</f>
        <v>0</v>
      </c>
    </row>
    <row r="45" spans="1:48" ht="16.5" x14ac:dyDescent="0.3">
      <c r="A45" s="16" t="s">
        <v>705</v>
      </c>
      <c r="B45" s="38" t="str">
        <f>VLOOKUP(Table3[[#This Row],[Marker Name / Summenformel]],BaseInfos_Table[],2,FALSE)</f>
        <v>modified rare earth oxid</v>
      </c>
      <c r="C45" s="38" t="str">
        <f>VLOOKUP(Table3[[#This Row],[Marker Name / Summenformel]],BaseInfos_Table[],3,FALSE)</f>
        <v>n.a.</v>
      </c>
      <c r="D45" s="38" t="str">
        <f>VLOOKUP(Table3[[#This Row],[Marker Name / Summenformel]],BaseInfos_Table[],4,FALSE)</f>
        <v>n.a.</v>
      </c>
      <c r="E45" s="38" t="str">
        <f>VLOOKUP(Table3[[#This Row],[Marker Name / Summenformel]],BaseInfos_Table[],5,FALSE)</f>
        <v>Mariscal-Becerra et al., 2020 / Optical Materials</v>
      </c>
      <c r="F45" s="38" t="str">
        <f>VLOOKUP(Table3[[#This Row],[Marker Name / Summenformel]],BaseInfos_Table[],6,FALSE)</f>
        <v>IR, UV-Vis, XRF</v>
      </c>
      <c r="G45" s="38" t="str">
        <f>VLOOKUP(Table3[[#This Row],[Marker Name / Summenformel]],BaseInfos_Table[],7,FALSE)</f>
        <v>N</v>
      </c>
      <c r="H45" s="38" t="str">
        <f>VLOOKUP(Table3[[#This Row],[Marker Name / Summenformel]],BaseInfos_Table[],8,FALSE)</f>
        <v>n.a.</v>
      </c>
      <c r="I45" s="38" t="str">
        <f>VLOOKUP(Table3[[#This Row],[Marker Name / Summenformel]],BaseInfos_Table[],9,FALSE)</f>
        <v>n.a.</v>
      </c>
      <c r="J45" s="38" t="str">
        <f>VLOOKUP(Table3[[#This Row],[Marker Name / Summenformel]],BaseInfos_Table[],10,FALSE)</f>
        <v>n.a.</v>
      </c>
      <c r="K45" s="38">
        <f>VLOOKUP(Table3[[#This Row],[Marker Name / Summenformel]],BaseInfos_Table[],11,FALSE)</f>
        <v>0</v>
      </c>
      <c r="L45" s="10" t="str">
        <f>VLOOKUP(Table3[[#This Row],[Marker Name / Summenformel]],GHS_Table[#All],3,FALSE)</f>
        <v>n.a.</v>
      </c>
      <c r="M45" s="10" t="str">
        <f>VLOOKUP(Table3[[#This Row],[Marker Name / Summenformel]],GHS_Table[#All],4,FALSE)</f>
        <v>n.a.</v>
      </c>
      <c r="N45" s="10" t="str">
        <f>VLOOKUP(Table3[[#This Row],[Marker Name / Summenformel]],GHS_Table[#All],5,FALSE)</f>
        <v>n.a.</v>
      </c>
      <c r="O45" s="10" t="str">
        <f>VLOOKUP(Table3[[#This Row],[Marker Name / Summenformel]],GHS_Table[#All],6,FALSE)</f>
        <v>n.a.</v>
      </c>
      <c r="P45" s="38" t="str">
        <f>VLOOKUP(Table3[[#This Row],[Marker Name / Summenformel]],PhysChem_Table[],3,FALSE)</f>
        <v>n.a.</v>
      </c>
      <c r="Q45" s="38" t="str">
        <f>VLOOKUP(Table3[[#This Row],[Marker Name / Summenformel]],PhysChem_Table[],4,FALSE)</f>
        <v>n.a.</v>
      </c>
      <c r="R45" s="38" t="str">
        <f>VLOOKUP(Table3[[#This Row],[Marker Name / Summenformel]],PhysChem_Table[],5,FALSE)</f>
        <v>n.a.</v>
      </c>
      <c r="S45" s="38" t="str">
        <f>VLOOKUP(Table3[[#This Row],[Marker Name / Summenformel]],PhysChem_Table[],6,FALSE)</f>
        <v>n.a.</v>
      </c>
      <c r="T45" s="38" t="str">
        <f>VLOOKUP(Table3[[#This Row],[Marker Name / Summenformel]],PhysChem_Table[],7,FALSE)</f>
        <v>n.a.</v>
      </c>
      <c r="U45" s="38" t="str">
        <f>VLOOKUP(Table3[[#This Row],[Marker Name / Summenformel]],PhysChem_Table[],8,FALSE)</f>
        <v>n.a.</v>
      </c>
      <c r="V45" s="38" t="str">
        <f>VLOOKUP(Table3[[#This Row],[Marker Name / Summenformel]],PhysChem_Table[],9,FALSE)</f>
        <v>n.a.</v>
      </c>
      <c r="W45" s="38" t="str">
        <f>VLOOKUP(Table3[[#This Row],[Marker Name / Summenformel]],PhysChem_Table[],10,FALSE)</f>
        <v>n.a.</v>
      </c>
      <c r="X45" s="38" t="str">
        <f>VLOOKUP(Table3[[#This Row],[Marker Name / Summenformel]],PhysChem_Table[],11,FALSE)</f>
        <v>n.a.</v>
      </c>
      <c r="Y45" s="38" t="str">
        <f>VLOOKUP(Table3[[#This Row],[Marker Name / Summenformel]],PhysChem_Table[],12,FALSE)</f>
        <v>n.a.</v>
      </c>
      <c r="Z45" s="38" t="str">
        <f>VLOOKUP(Table3[[#This Row],[Marker Name / Summenformel]],PhysChem_Table[],13,FALSE)</f>
        <v>n.a.</v>
      </c>
      <c r="AA45" s="38" t="str">
        <f>VLOOKUP(Table3[[#This Row],[Marker Name / Summenformel]],PhysChem_Table[],14,FALSE)</f>
        <v>n.a.</v>
      </c>
      <c r="AB45" s="38" t="str">
        <f>VLOOKUP(Table3[[#This Row],[Marker Name / Summenformel]],PhysChem_Table[],15,FALSE)</f>
        <v>n.a.</v>
      </c>
      <c r="AC45" s="38" t="str">
        <f>VLOOKUP(Table3[[#This Row],[Marker Name / Summenformel]],PhysChem_Table[],16,FALSE)</f>
        <v>n.a.</v>
      </c>
      <c r="AD45" s="38" t="str">
        <f>VLOOKUP(Table3[[#This Row],[Marker Name / Summenformel]],PhysChem_Table[],17,FALSE)</f>
        <v>n.a.</v>
      </c>
      <c r="AE45" s="38" t="str">
        <f>VLOOKUP(Table3[[#This Row],[Marker Name / Summenformel]],PhysChem_Table[],18,FALSE)</f>
        <v>n.a.</v>
      </c>
      <c r="AF45" s="38" t="str">
        <f>VLOOKUP(Table3[[#This Row],[Marker Name / Summenformel]],PhysChem_Table[],19,FALSE)</f>
        <v>n.a.</v>
      </c>
      <c r="AG45" s="38" t="str">
        <f>VLOOKUP(Table3[[#This Row],[Marker Name / Summenformel]],PhysChem_Table[],20,FALSE)</f>
        <v>n.a.</v>
      </c>
      <c r="AH45" s="38" t="str">
        <f>VLOOKUP(Table3[[#This Row],[Marker Name / Summenformel]],PhysChem_Table[],21,FALSE)</f>
        <v>n.a.</v>
      </c>
      <c r="AI45" s="38" t="str">
        <f>VLOOKUP(Table3[[#This Row],[Marker Name / Summenformel]],PhysChem_Table[],22,FALSE)</f>
        <v>n.a.</v>
      </c>
      <c r="AJ45" s="38" t="str">
        <f>VLOOKUP(Table3[[#This Row],[Marker Name / Summenformel]],PhysChem_Table[],23,FALSE)</f>
        <v>n.a.</v>
      </c>
      <c r="AK45" s="38" t="str">
        <f>VLOOKUP(Table3[[#This Row],[Marker Name / Summenformel]],PhysChem_Table[],24,FALSE)</f>
        <v>n.a.</v>
      </c>
      <c r="AL45" s="38" t="str">
        <f>VLOOKUP(Table3[[#This Row],[Marker Name / Summenformel]],PhysChem_Table[],25,FALSE)</f>
        <v>n.a.</v>
      </c>
      <c r="AM45" s="38" t="str">
        <f>VLOOKUP(Table3[[#This Row],[Marker Name / Summenformel]],PhysChem_Table[],26,FALSE)</f>
        <v>n.a.</v>
      </c>
      <c r="AN45" s="38" t="str">
        <f>VLOOKUP(Table3[[#This Row],[Marker Name / Summenformel]],PhysChem_Table[],27,FALSE)</f>
        <v>n.a.</v>
      </c>
      <c r="AO45" s="38" t="str">
        <f>VLOOKUP(Table3[[#This Row],[Marker Name / Summenformel]],PhysChem_Table[],28,FALSE)</f>
        <v>n.a.</v>
      </c>
      <c r="AP45" s="38" t="str">
        <f>VLOOKUP(Table3[[#This Row],[Marker Name / Summenformel]],PhysChem_Table[],29,FALSE)</f>
        <v>n.a.</v>
      </c>
      <c r="AQ45" s="38" t="str">
        <f>VLOOKUP(Table3[[#This Row],[Marker Name / Summenformel]],PhysChem_Table[],30,FALSE)</f>
        <v>n.a.</v>
      </c>
      <c r="AR45" s="38" t="str">
        <f>VLOOKUP(Table3[[#This Row],[Marker Name / Summenformel]],PhysChem_Table[],31,FALSE)</f>
        <v>n.a.</v>
      </c>
      <c r="AS45" s="38" t="str">
        <f>VLOOKUP(Table3[[#This Row],[Marker Name / Summenformel]],PhysChem_Table[],32,FALSE)</f>
        <v>n.a.</v>
      </c>
      <c r="AT45" s="38" t="str">
        <f>VLOOKUP(Table3[[#This Row],[Marker Name / Summenformel]],PhysChem_Table[],33,FALSE)</f>
        <v>n.a.</v>
      </c>
      <c r="AU45" s="38" t="str">
        <f>VLOOKUP(Table3[[#This Row],[Marker Name / Summenformel]],PhysChem_Table[],34,FALSE)</f>
        <v>n.a.</v>
      </c>
      <c r="AV45" s="10">
        <f>VLOOKUP(Table3[[#This Row],[Marker Name / Summenformel]],PhysChem_Table[],35,FALSE)</f>
        <v>0</v>
      </c>
    </row>
    <row r="46" spans="1:48" x14ac:dyDescent="0.3">
      <c r="A46" s="10" t="s">
        <v>706</v>
      </c>
      <c r="B46" s="38" t="str">
        <f>VLOOKUP(Table3[[#This Row],[Marker Name / Summenformel]],BaseInfos_Table[],2,FALSE)</f>
        <v>rare earth oxide</v>
      </c>
      <c r="C46" s="38" t="str">
        <f>VLOOKUP(Table3[[#This Row],[Marker Name / Summenformel]],BaseInfos_Table[],3,FALSE)</f>
        <v>12036-44-1</v>
      </c>
      <c r="D46" s="38" t="str">
        <f>VLOOKUP(Table3[[#This Row],[Marker Name / Summenformel]],BaseInfos_Table[],4,FALSE)</f>
        <v>234-851-6</v>
      </c>
      <c r="E46" s="38" t="str">
        <f>VLOOKUP(Table3[[#This Row],[Marker Name / Summenformel]],BaseInfos_Table[],5,FALSE)</f>
        <v>Cui et al., 2015 / Journal of Spectroscopy</v>
      </c>
      <c r="F46" s="38" t="str">
        <f>VLOOKUP(Table3[[#This Row],[Marker Name / Summenformel]],BaseInfos_Table[],6,FALSE)</f>
        <v>XRF, UV-Vis</v>
      </c>
      <c r="G46" s="38" t="str">
        <f>VLOOKUP(Table3[[#This Row],[Marker Name / Summenformel]],BaseInfos_Table[],7,FALSE)</f>
        <v>Y</v>
      </c>
      <c r="H46" s="38" t="str">
        <f>VLOOKUP(Table3[[#This Row],[Marker Name / Summenformel]],BaseInfos_Table[],8,FALSE)</f>
        <v>n.a.</v>
      </c>
      <c r="I46" s="38" t="str">
        <f>VLOOKUP(Table3[[#This Row],[Marker Name / Summenformel]],BaseInfos_Table[],9,FALSE)</f>
        <v>https://echa.europa.eu/de/substance-information/-/substanceinfo/100.031.670</v>
      </c>
      <c r="J46" s="38" t="str">
        <f>VLOOKUP(Table3[[#This Row],[Marker Name / Summenformel]],BaseInfos_Table[],10,FALSE)</f>
        <v>https://www.sigmaaldrich.com/AT/de/substance/thuliumiiioxide3858712036441</v>
      </c>
      <c r="K46" s="38">
        <f>VLOOKUP(Table3[[#This Row],[Marker Name / Summenformel]],BaseInfos_Table[],11,FALSE)</f>
        <v>0</v>
      </c>
      <c r="L46" s="10" t="str">
        <f>VLOOKUP(Table3[[#This Row],[Marker Name / Summenformel]],GHS_Table[#All],3,FALSE)</f>
        <v>CLP</v>
      </c>
      <c r="M46" s="10" t="str">
        <f>VLOOKUP(Table3[[#This Row],[Marker Name / Summenformel]],GHS_Table[#All],4,FALSE)</f>
        <v>n.a.</v>
      </c>
      <c r="N46" s="10">
        <f>VLOOKUP(Table3[[#This Row],[Marker Name / Summenformel]],GHS_Table[#All],5,FALSE)</f>
        <v>3</v>
      </c>
      <c r="O46" s="10">
        <f>VLOOKUP(Table3[[#This Row],[Marker Name / Summenformel]],GHS_Table[#All],6,FALSE)</f>
        <v>0</v>
      </c>
      <c r="P46" s="38" t="str">
        <f>VLOOKUP(Table3[[#This Row],[Marker Name / Summenformel]],PhysChem_Table[],3,FALSE)</f>
        <v>solid: powder</v>
      </c>
      <c r="Q46" s="38" t="str">
        <f>VLOOKUP(Table3[[#This Row],[Marker Name / Summenformel]],PhysChem_Table[],4,FALSE)</f>
        <v>yellow</v>
      </c>
      <c r="R46" s="38">
        <f>VLOOKUP(Table3[[#This Row],[Marker Name / Summenformel]],PhysChem_Table[],5,FALSE)</f>
        <v>2425</v>
      </c>
      <c r="S46" s="38" t="str">
        <f>VLOOKUP(Table3[[#This Row],[Marker Name / Summenformel]],PhysChem_Table[],6,FALSE)</f>
        <v>n.s.</v>
      </c>
      <c r="T46" s="38" t="str">
        <f>VLOOKUP(Table3[[#This Row],[Marker Name / Summenformel]],PhysChem_Table[],7,FALSE)</f>
        <v>n.a.</v>
      </c>
      <c r="U46" s="38" t="str">
        <f>VLOOKUP(Table3[[#This Row],[Marker Name / Summenformel]],PhysChem_Table[],8,FALSE)</f>
        <v>n.a.</v>
      </c>
      <c r="V46" s="38" t="str">
        <f>VLOOKUP(Table3[[#This Row],[Marker Name / Summenformel]],PhysChem_Table[],9,FALSE)</f>
        <v>n.a.</v>
      </c>
      <c r="W46" s="38" t="str">
        <f>VLOOKUP(Table3[[#This Row],[Marker Name / Summenformel]],PhysChem_Table[],10,FALSE)</f>
        <v>n.a.</v>
      </c>
      <c r="X46" s="38" t="str">
        <f>VLOOKUP(Table3[[#This Row],[Marker Name / Summenformel]],PhysChem_Table[],11,FALSE)</f>
        <v>n.a.</v>
      </c>
      <c r="Y46" s="38" t="str">
        <f>VLOOKUP(Table3[[#This Row],[Marker Name / Summenformel]],PhysChem_Table[],12,FALSE)</f>
        <v>n.a.</v>
      </c>
      <c r="Z46" s="38" t="str">
        <f>VLOOKUP(Table3[[#This Row],[Marker Name / Summenformel]],PhysChem_Table[],13,FALSE)</f>
        <v>n.a.</v>
      </c>
      <c r="AA46" s="38">
        <f>VLOOKUP(Table3[[#This Row],[Marker Name / Summenformel]],PhysChem_Table[],14,FALSE)</f>
        <v>-0.36299999999999999</v>
      </c>
      <c r="AB46" s="38" t="str">
        <f>VLOOKUP(Table3[[#This Row],[Marker Name / Summenformel]],PhysChem_Table[],15,FALSE)</f>
        <v>n.s.</v>
      </c>
      <c r="AC46" s="38" t="str">
        <f>VLOOKUP(Table3[[#This Row],[Marker Name / Summenformel]],PhysChem_Table[],16,FALSE)</f>
        <v>n.a.</v>
      </c>
      <c r="AD46" s="38" t="str">
        <f>VLOOKUP(Table3[[#This Row],[Marker Name / Summenformel]],PhysChem_Table[],17,FALSE)</f>
        <v>n.a.</v>
      </c>
      <c r="AE46" s="38" t="str">
        <f>VLOOKUP(Table3[[#This Row],[Marker Name / Summenformel]],PhysChem_Table[],18,FALSE)</f>
        <v>n.a.</v>
      </c>
      <c r="AF46" s="38" t="str">
        <f>VLOOKUP(Table3[[#This Row],[Marker Name / Summenformel]],PhysChem_Table[],19,FALSE)</f>
        <v>n.a.</v>
      </c>
      <c r="AG46" s="38" t="str">
        <f>VLOOKUP(Table3[[#This Row],[Marker Name / Summenformel]],PhysChem_Table[],20,FALSE)</f>
        <v>n.a.</v>
      </c>
      <c r="AH46" s="38" t="str">
        <f>VLOOKUP(Table3[[#This Row],[Marker Name / Summenformel]],PhysChem_Table[],21,FALSE)</f>
        <v>n.a.</v>
      </c>
      <c r="AI46" s="38" t="str">
        <f>VLOOKUP(Table3[[#This Row],[Marker Name / Summenformel]],PhysChem_Table[],22,FALSE)</f>
        <v>n.a.</v>
      </c>
      <c r="AJ46" s="38" t="str">
        <f>VLOOKUP(Table3[[#This Row],[Marker Name / Summenformel]],PhysChem_Table[],23,FALSE)</f>
        <v>n.a.</v>
      </c>
      <c r="AK46" s="38" t="str">
        <f>VLOOKUP(Table3[[#This Row],[Marker Name / Summenformel]],PhysChem_Table[],24,FALSE)</f>
        <v>n.a.</v>
      </c>
      <c r="AL46" s="38" t="str">
        <f>VLOOKUP(Table3[[#This Row],[Marker Name / Summenformel]],PhysChem_Table[],25,FALSE)</f>
        <v>n.a.</v>
      </c>
      <c r="AM46" s="38" t="str">
        <f>VLOOKUP(Table3[[#This Row],[Marker Name / Summenformel]],PhysChem_Table[],26,FALSE)</f>
        <v>n.a.</v>
      </c>
      <c r="AN46" s="38" t="str">
        <f>VLOOKUP(Table3[[#This Row],[Marker Name / Summenformel]],PhysChem_Table[],27,FALSE)</f>
        <v>n.a.</v>
      </c>
      <c r="AO46" s="38" t="str">
        <f>VLOOKUP(Table3[[#This Row],[Marker Name / Summenformel]],PhysChem_Table[],28,FALSE)</f>
        <v>n.a.</v>
      </c>
      <c r="AP46" s="38" t="str">
        <f>VLOOKUP(Table3[[#This Row],[Marker Name / Summenformel]],PhysChem_Table[],29,FALSE)</f>
        <v>n.a.</v>
      </c>
      <c r="AQ46" s="38" t="str">
        <f>VLOOKUP(Table3[[#This Row],[Marker Name / Summenformel]],PhysChem_Table[],30,FALSE)</f>
        <v>n.a.</v>
      </c>
      <c r="AR46" s="38" t="str">
        <f>VLOOKUP(Table3[[#This Row],[Marker Name / Summenformel]],PhysChem_Table[],31,FALSE)</f>
        <v>n.a.</v>
      </c>
      <c r="AS46" s="38" t="str">
        <f>VLOOKUP(Table3[[#This Row],[Marker Name / Summenformel]],PhysChem_Table[],32,FALSE)</f>
        <v>n.a.</v>
      </c>
      <c r="AT46" s="38" t="str">
        <f>VLOOKUP(Table3[[#This Row],[Marker Name / Summenformel]],PhysChem_Table[],33,FALSE)</f>
        <v>n.a.</v>
      </c>
      <c r="AU46" s="38" t="str">
        <f>VLOOKUP(Table3[[#This Row],[Marker Name / Summenformel]],PhysChem_Table[],34,FALSE)</f>
        <v>http://www.chemspider.com/Chemical-Structure.3753585.html?rid=feb09781-aedc-40ff-911b-0f58635eb465; https://www.sigmaaldrich.com/AT/en/sds/aldrich/289167</v>
      </c>
      <c r="AV46" s="10">
        <f>VLOOKUP(Table3[[#This Row],[Marker Name / Summenformel]],PhysChem_Table[],35,FALSE)</f>
        <v>0</v>
      </c>
    </row>
    <row r="47" spans="1:48" ht="15.6" customHeight="1" x14ac:dyDescent="0.3">
      <c r="A47" s="10" t="s">
        <v>707</v>
      </c>
      <c r="B47" s="10" t="str">
        <f>VLOOKUP(Table3[[#This Row],[Marker Name / Summenformel]],BaseInfos_Table[],2,FALSE)</f>
        <v>rare earth oxide</v>
      </c>
      <c r="C47" s="10" t="str">
        <f>VLOOKUP(Table3[[#This Row],[Marker Name / Summenformel]],BaseInfos_Table[],3,FALSE)</f>
        <v>12037-01-3</v>
      </c>
      <c r="D47" s="10" t="str">
        <f>VLOOKUP(Table3[[#This Row],[Marker Name / Summenformel]],BaseInfos_Table[],4,FALSE)</f>
        <v>234-856-3</v>
      </c>
      <c r="E47" s="10" t="str">
        <f>VLOOKUP(Table3[[#This Row],[Marker Name / Summenformel]],BaseInfos_Table[],5,FALSE)</f>
        <v>Cui et al., 2015 / Journal of Spectroscopy</v>
      </c>
      <c r="F47" s="10" t="str">
        <f>VLOOKUP(Table3[[#This Row],[Marker Name / Summenformel]],BaseInfos_Table[],6,FALSE)</f>
        <v>IR , XRF ,UV-Vis</v>
      </c>
      <c r="G47" s="10" t="str">
        <f>VLOOKUP(Table3[[#This Row],[Marker Name / Summenformel]],BaseInfos_Table[],7,FALSE)</f>
        <v>Y</v>
      </c>
      <c r="H47" s="10" t="str">
        <f>VLOOKUP(Table3[[#This Row],[Marker Name / Summenformel]],BaseInfos_Table[],8,FALSE)</f>
        <v>n.a.</v>
      </c>
      <c r="I47" s="10" t="str">
        <f>VLOOKUP(Table3[[#This Row],[Marker Name / Summenformel]],BaseInfos_Table[],9,FALSE)</f>
        <v>https://echa.europa.eu/de/substance-information/-/substanceinfo/100.031.675</v>
      </c>
      <c r="J47" s="10" t="str">
        <f>VLOOKUP(Table3[[#This Row],[Marker Name / Summenformel]],BaseInfos_Table[],10,FALSE)</f>
        <v>https://www.sigmaaldrich.com/AT/de/substance/terbiumiiiivoxide7477012037013</v>
      </c>
      <c r="K47" s="10">
        <f>VLOOKUP(Table3[[#This Row],[Marker Name / Summenformel]],BaseInfos_Table[],11,FALSE)</f>
        <v>0</v>
      </c>
      <c r="L47" s="10" t="str">
        <f>VLOOKUP(Table3[[#This Row],[Marker Name / Summenformel]],GHS_Table[#All],3,FALSE)</f>
        <v>REACH</v>
      </c>
      <c r="M47" s="10">
        <f>VLOOKUP(Table3[[#This Row],[Marker Name / Summenformel]],GHS_Table[#All],4,FALSE)</f>
        <v>0</v>
      </c>
      <c r="N47" s="10">
        <f>VLOOKUP(Table3[[#This Row],[Marker Name / Summenformel]],GHS_Table[#All],5,FALSE)</f>
        <v>0</v>
      </c>
      <c r="O47" s="10">
        <f>VLOOKUP(Table3[[#This Row],[Marker Name / Summenformel]],GHS_Table[#All],6,FALSE)</f>
        <v>0</v>
      </c>
      <c r="P47" s="10" t="str">
        <f>VLOOKUP(Table3[[#This Row],[Marker Name / Summenformel]],PhysChem_Table[],3,FALSE)</f>
        <v>solid: powder</v>
      </c>
      <c r="Q47" s="10" t="str">
        <f>VLOOKUP(Table3[[#This Row],[Marker Name / Summenformel]],PhysChem_Table[],4,FALSE)</f>
        <v>brown</v>
      </c>
      <c r="R47" s="10">
        <f>VLOOKUP(Table3[[#This Row],[Marker Name / Summenformel]],PhysChem_Table[],5,FALSE)</f>
        <v>2340</v>
      </c>
      <c r="S47" s="10" t="str">
        <f>VLOOKUP(Table3[[#This Row],[Marker Name / Summenformel]],PhysChem_Table[],6,FALSE)</f>
        <v>n.s.</v>
      </c>
      <c r="T47" s="10" t="str">
        <f>VLOOKUP(Table3[[#This Row],[Marker Name / Summenformel]],PhysChem_Table[],7,FALSE)</f>
        <v>n.a.</v>
      </c>
      <c r="U47" s="10" t="str">
        <f>VLOOKUP(Table3[[#This Row],[Marker Name / Summenformel]],PhysChem_Table[],8,FALSE)</f>
        <v>n.a.</v>
      </c>
      <c r="V47" s="10" t="str">
        <f>VLOOKUP(Table3[[#This Row],[Marker Name / Summenformel]],PhysChem_Table[],9,FALSE)</f>
        <v>n.a.</v>
      </c>
      <c r="W47" s="10" t="str">
        <f>VLOOKUP(Table3[[#This Row],[Marker Name / Summenformel]],PhysChem_Table[],10,FALSE)</f>
        <v>n.a.</v>
      </c>
      <c r="X47" s="10" t="str">
        <f>VLOOKUP(Table3[[#This Row],[Marker Name / Summenformel]],PhysChem_Table[],11,FALSE)</f>
        <v>n.a.</v>
      </c>
      <c r="Y47" s="10" t="str">
        <f>VLOOKUP(Table3[[#This Row],[Marker Name / Summenformel]],PhysChem_Table[],12,FALSE)</f>
        <v>n.a.</v>
      </c>
      <c r="Z47" s="10" t="str">
        <f>VLOOKUP(Table3[[#This Row],[Marker Name / Summenformel]],PhysChem_Table[],13,FALSE)</f>
        <v>n.a.</v>
      </c>
      <c r="AA47" s="10" t="str">
        <f>VLOOKUP(Table3[[#This Row],[Marker Name / Summenformel]],PhysChem_Table[],14,FALSE)</f>
        <v>n.a.</v>
      </c>
      <c r="AB47" s="10" t="str">
        <f>VLOOKUP(Table3[[#This Row],[Marker Name / Summenformel]],PhysChem_Table[],15,FALSE)</f>
        <v>n.a.</v>
      </c>
      <c r="AC47" s="10" t="str">
        <f>VLOOKUP(Table3[[#This Row],[Marker Name / Summenformel]],PhysChem_Table[],16,FALSE)</f>
        <v>n.a.</v>
      </c>
      <c r="AD47" s="10" t="str">
        <f>VLOOKUP(Table3[[#This Row],[Marker Name / Summenformel]],PhysChem_Table[],17,FALSE)</f>
        <v>n.a.</v>
      </c>
      <c r="AE47" s="10" t="str">
        <f>VLOOKUP(Table3[[#This Row],[Marker Name / Summenformel]],PhysChem_Table[],18,FALSE)</f>
        <v>n.a.</v>
      </c>
      <c r="AF47" s="10" t="str">
        <f>VLOOKUP(Table3[[#This Row],[Marker Name / Summenformel]],PhysChem_Table[],19,FALSE)</f>
        <v>n.a.</v>
      </c>
      <c r="AG47" s="10" t="str">
        <f>VLOOKUP(Table3[[#This Row],[Marker Name / Summenformel]],PhysChem_Table[],20,FALSE)</f>
        <v>n.a.</v>
      </c>
      <c r="AH47" s="10" t="str">
        <f>VLOOKUP(Table3[[#This Row],[Marker Name / Summenformel]],PhysChem_Table[],21,FALSE)</f>
        <v>n.a.</v>
      </c>
      <c r="AI47" s="10" t="str">
        <f>VLOOKUP(Table3[[#This Row],[Marker Name / Summenformel]],PhysChem_Table[],22,FALSE)</f>
        <v>n.a.</v>
      </c>
      <c r="AJ47" s="10" t="str">
        <f>VLOOKUP(Table3[[#This Row],[Marker Name / Summenformel]],PhysChem_Table[],23,FALSE)</f>
        <v>n.a.</v>
      </c>
      <c r="AK47" s="10" t="str">
        <f>VLOOKUP(Table3[[#This Row],[Marker Name / Summenformel]],PhysChem_Table[],24,FALSE)</f>
        <v>n.a.</v>
      </c>
      <c r="AL47" s="10" t="str">
        <f>VLOOKUP(Table3[[#This Row],[Marker Name / Summenformel]],PhysChem_Table[],25,FALSE)</f>
        <v>n.a.</v>
      </c>
      <c r="AM47" s="10" t="str">
        <f>VLOOKUP(Table3[[#This Row],[Marker Name / Summenformel]],PhysChem_Table[],26,FALSE)</f>
        <v>n.a.</v>
      </c>
      <c r="AN47" s="10" t="str">
        <f>VLOOKUP(Table3[[#This Row],[Marker Name / Summenformel]],PhysChem_Table[],27,FALSE)</f>
        <v>n.a.</v>
      </c>
      <c r="AO47" s="10" t="str">
        <f>VLOOKUP(Table3[[#This Row],[Marker Name / Summenformel]],PhysChem_Table[],28,FALSE)</f>
        <v>n.a.</v>
      </c>
      <c r="AP47" s="10" t="str">
        <f>VLOOKUP(Table3[[#This Row],[Marker Name / Summenformel]],PhysChem_Table[],29,FALSE)</f>
        <v>n.a.</v>
      </c>
      <c r="AQ47" s="10" t="str">
        <f>VLOOKUP(Table3[[#This Row],[Marker Name / Summenformel]],PhysChem_Table[],30,FALSE)</f>
        <v>n.a.</v>
      </c>
      <c r="AR47" s="10" t="str">
        <f>VLOOKUP(Table3[[#This Row],[Marker Name / Summenformel]],PhysChem_Table[],31,FALSE)</f>
        <v>n.a.</v>
      </c>
      <c r="AS47" s="10" t="str">
        <f>VLOOKUP(Table3[[#This Row],[Marker Name / Summenformel]],PhysChem_Table[],32,FALSE)</f>
        <v>n.a.</v>
      </c>
      <c r="AT47" s="10" t="str">
        <f>VLOOKUP(Table3[[#This Row],[Marker Name / Summenformel]],PhysChem_Table[],33,FALSE)</f>
        <v>n.a.</v>
      </c>
      <c r="AU47" s="10" t="str">
        <f>VLOOKUP(Table3[[#This Row],[Marker Name / Summenformel]],PhysChem_Table[],34,FALSE)</f>
        <v xml:space="preserve">https://echa.europa.eu/de/registration-dossier/-/registered-dossier/27476/4/2  </v>
      </c>
      <c r="AV47" s="10" t="str">
        <f>VLOOKUP(Table3[[#This Row],[Marker Name / Summenformel]],PhysChem_Table[],35,FALSE)</f>
        <v>http://www.chemspider.com/Chemical-Structure.17339486.html?rid=001eff78-c9c4-4e7d-bd22-5f90492e7114</v>
      </c>
    </row>
    <row r="48" spans="1:48" ht="15.6" customHeight="1" x14ac:dyDescent="0.3">
      <c r="A48" s="10" t="s">
        <v>708</v>
      </c>
      <c r="B48" s="10" t="str">
        <f>VLOOKUP(Table3[[#This Row],[Marker Name / Summenformel]],BaseInfos_Table[],2,FALSE)</f>
        <v>rare earth oxide</v>
      </c>
      <c r="C48" s="10" t="str">
        <f>VLOOKUP(Table3[[#This Row],[Marker Name / Summenformel]],BaseInfos_Table[],3,FALSE)</f>
        <v>12036-41-8</v>
      </c>
      <c r="D48" s="10" t="str">
        <f>VLOOKUP(Table3[[#This Row],[Marker Name / Summenformel]],BaseInfos_Table[],4,FALSE)</f>
        <v>234-849-5</v>
      </c>
      <c r="E48" s="10" t="str">
        <f>VLOOKUP(Table3[[#This Row],[Marker Name / Summenformel]],BaseInfos_Table[],5,FALSE)</f>
        <v>Cui et al., 2015 / Journal of Spectroscopy</v>
      </c>
      <c r="F48" s="10" t="str">
        <f>VLOOKUP(Table3[[#This Row],[Marker Name / Summenformel]],BaseInfos_Table[],6,FALSE)</f>
        <v>IR , XRF ,UV-Vis</v>
      </c>
      <c r="G48" s="10" t="str">
        <f>VLOOKUP(Table3[[#This Row],[Marker Name / Summenformel]],BaseInfos_Table[],7,FALSE)</f>
        <v>Y</v>
      </c>
      <c r="H48" s="10" t="str">
        <f>VLOOKUP(Table3[[#This Row],[Marker Name / Summenformel]],BaseInfos_Table[],8,FALSE)</f>
        <v>n.a.</v>
      </c>
      <c r="I48" s="10" t="str">
        <f>VLOOKUP(Table3[[#This Row],[Marker Name / Summenformel]],BaseInfos_Table[],9,FALSE)</f>
        <v>https://echa.europa.eu/de/substance-information/-/substanceinfo/100.031.668</v>
      </c>
      <c r="J48" s="10" t="str">
        <f>VLOOKUP(Table3[[#This Row],[Marker Name / Summenformel]],BaseInfos_Table[],10,FALSE)</f>
        <v>https://www.sigmaaldrich.com/AT/de/product/aldrich/590509</v>
      </c>
      <c r="K48" s="10">
        <f>VLOOKUP(Table3[[#This Row],[Marker Name / Summenformel]],BaseInfos_Table[],11,FALSE)</f>
        <v>0</v>
      </c>
      <c r="L48" s="10" t="str">
        <f>VLOOKUP(Table3[[#This Row],[Marker Name / Summenformel]],GHS_Table[#All],3,FALSE)</f>
        <v>CLP</v>
      </c>
      <c r="M48" s="10" t="str">
        <f>VLOOKUP(Table3[[#This Row],[Marker Name / Summenformel]],GHS_Table[#All],4,FALSE)</f>
        <v>n.a.</v>
      </c>
      <c r="N48" s="10">
        <f>VLOOKUP(Table3[[#This Row],[Marker Name / Summenformel]],GHS_Table[#All],5,FALSE)</f>
        <v>3</v>
      </c>
      <c r="O48" s="10">
        <f>VLOOKUP(Table3[[#This Row],[Marker Name / Summenformel]],GHS_Table[#All],6,FALSE)</f>
        <v>3</v>
      </c>
      <c r="P48" s="10" t="str">
        <f>VLOOKUP(Table3[[#This Row],[Marker Name / Summenformel]],PhysChem_Table[],3,FALSE)</f>
        <v>solid: powder</v>
      </c>
      <c r="Q48" s="10" t="str">
        <f>VLOOKUP(Table3[[#This Row],[Marker Name / Summenformel]],PhysChem_Table[],4,FALSE)</f>
        <v>white</v>
      </c>
      <c r="R48" s="10" t="str">
        <f>VLOOKUP(Table3[[#This Row],[Marker Name / Summenformel]],PhysChem_Table[],5,FALSE)</f>
        <v>n.a.</v>
      </c>
      <c r="S48" s="10" t="str">
        <f>VLOOKUP(Table3[[#This Row],[Marker Name / Summenformel]],PhysChem_Table[],6,FALSE)</f>
        <v>n.a.</v>
      </c>
      <c r="T48" s="10" t="str">
        <f>VLOOKUP(Table3[[#This Row],[Marker Name / Summenformel]],PhysChem_Table[],7,FALSE)</f>
        <v>n.a.</v>
      </c>
      <c r="U48" s="10" t="str">
        <f>VLOOKUP(Table3[[#This Row],[Marker Name / Summenformel]],PhysChem_Table[],8,FALSE)</f>
        <v>n.a.</v>
      </c>
      <c r="V48" s="10" t="str">
        <f>VLOOKUP(Table3[[#This Row],[Marker Name / Summenformel]],PhysChem_Table[],9,FALSE)</f>
        <v>n.a.</v>
      </c>
      <c r="W48" s="10" t="str">
        <f>VLOOKUP(Table3[[#This Row],[Marker Name / Summenformel]],PhysChem_Table[],10,FALSE)</f>
        <v>n.a.</v>
      </c>
      <c r="X48" s="10" t="str">
        <f>VLOOKUP(Table3[[#This Row],[Marker Name / Summenformel]],PhysChem_Table[],11,FALSE)</f>
        <v>n.a.</v>
      </c>
      <c r="Y48" s="10" t="str">
        <f>VLOOKUP(Table3[[#This Row],[Marker Name / Summenformel]],PhysChem_Table[],12,FALSE)</f>
        <v>n.a.</v>
      </c>
      <c r="Z48" s="10" t="str">
        <f>VLOOKUP(Table3[[#This Row],[Marker Name / Summenformel]],PhysChem_Table[],13,FALSE)</f>
        <v>n.a.</v>
      </c>
      <c r="AA48" s="10" t="str">
        <f>VLOOKUP(Table3[[#This Row],[Marker Name / Summenformel]],PhysChem_Table[],14,FALSE)</f>
        <v>n.a.</v>
      </c>
      <c r="AB48" s="10" t="str">
        <f>VLOOKUP(Table3[[#This Row],[Marker Name / Summenformel]],PhysChem_Table[],15,FALSE)</f>
        <v>n.a.</v>
      </c>
      <c r="AC48" s="10" t="str">
        <f>VLOOKUP(Table3[[#This Row],[Marker Name / Summenformel]],PhysChem_Table[],16,FALSE)</f>
        <v>n.a.</v>
      </c>
      <c r="AD48" s="10" t="str">
        <f>VLOOKUP(Table3[[#This Row],[Marker Name / Summenformel]],PhysChem_Table[],17,FALSE)</f>
        <v>n.a.</v>
      </c>
      <c r="AE48" s="10" t="str">
        <f>VLOOKUP(Table3[[#This Row],[Marker Name / Summenformel]],PhysChem_Table[],18,FALSE)</f>
        <v>n.a.</v>
      </c>
      <c r="AF48" s="10" t="str">
        <f>VLOOKUP(Table3[[#This Row],[Marker Name / Summenformel]],PhysChem_Table[],19,FALSE)</f>
        <v>n.a.</v>
      </c>
      <c r="AG48" s="10" t="str">
        <f>VLOOKUP(Table3[[#This Row],[Marker Name / Summenformel]],PhysChem_Table[],20,FALSE)</f>
        <v>n.a.</v>
      </c>
      <c r="AH48" s="10" t="str">
        <f>VLOOKUP(Table3[[#This Row],[Marker Name / Summenformel]],PhysChem_Table[],21,FALSE)</f>
        <v>n.a.</v>
      </c>
      <c r="AI48" s="10" t="str">
        <f>VLOOKUP(Table3[[#This Row],[Marker Name / Summenformel]],PhysChem_Table[],22,FALSE)</f>
        <v>n.a.</v>
      </c>
      <c r="AJ48" s="10" t="str">
        <f>VLOOKUP(Table3[[#This Row],[Marker Name / Summenformel]],PhysChem_Table[],23,FALSE)</f>
        <v>n.a.</v>
      </c>
      <c r="AK48" s="10" t="str">
        <f>VLOOKUP(Table3[[#This Row],[Marker Name / Summenformel]],PhysChem_Table[],24,FALSE)</f>
        <v>n.a.</v>
      </c>
      <c r="AL48" s="10" t="str">
        <f>VLOOKUP(Table3[[#This Row],[Marker Name / Summenformel]],PhysChem_Table[],25,FALSE)</f>
        <v>n.a.</v>
      </c>
      <c r="AM48" s="10" t="str">
        <f>VLOOKUP(Table3[[#This Row],[Marker Name / Summenformel]],PhysChem_Table[],26,FALSE)</f>
        <v>n.a.</v>
      </c>
      <c r="AN48" s="10" t="str">
        <f>VLOOKUP(Table3[[#This Row],[Marker Name / Summenformel]],PhysChem_Table[],27,FALSE)</f>
        <v>n.a.</v>
      </c>
      <c r="AO48" s="10" t="str">
        <f>VLOOKUP(Table3[[#This Row],[Marker Name / Summenformel]],PhysChem_Table[],28,FALSE)</f>
        <v>n.a.</v>
      </c>
      <c r="AP48" s="10" t="str">
        <f>VLOOKUP(Table3[[#This Row],[Marker Name / Summenformel]],PhysChem_Table[],29,FALSE)</f>
        <v>n.a.</v>
      </c>
      <c r="AQ48" s="10" t="str">
        <f>VLOOKUP(Table3[[#This Row],[Marker Name / Summenformel]],PhysChem_Table[],30,FALSE)</f>
        <v>n.a.</v>
      </c>
      <c r="AR48" s="10" t="str">
        <f>VLOOKUP(Table3[[#This Row],[Marker Name / Summenformel]],PhysChem_Table[],31,FALSE)</f>
        <v>n.a.</v>
      </c>
      <c r="AS48" s="10" t="str">
        <f>VLOOKUP(Table3[[#This Row],[Marker Name / Summenformel]],PhysChem_Table[],32,FALSE)</f>
        <v>n.a.</v>
      </c>
      <c r="AT48" s="10" t="str">
        <f>VLOOKUP(Table3[[#This Row],[Marker Name / Summenformel]],PhysChem_Table[],33,FALSE)</f>
        <v>n.a.</v>
      </c>
      <c r="AU48" s="10" t="str">
        <f>VLOOKUP(Table3[[#This Row],[Marker Name / Summenformel]],PhysChem_Table[],34,FALSE)</f>
        <v>https://www.sigmaaldrich.com/AT/en/sds/aldrich/590509</v>
      </c>
      <c r="AV48" s="10">
        <f>VLOOKUP(Table3[[#This Row],[Marker Name / Summenformel]],PhysChem_Table[],35,FALSE)</f>
        <v>0</v>
      </c>
    </row>
    <row r="49" spans="1:48" x14ac:dyDescent="0.3">
      <c r="A49" s="10" t="s">
        <v>434</v>
      </c>
      <c r="B49" s="38" t="str">
        <f>VLOOKUP(Table3[[#This Row],[Marker Name / Summenformel]],BaseInfos_Table[],2,FALSE)</f>
        <v>Acridine</v>
      </c>
      <c r="C49" s="38" t="str">
        <f>VLOOKUP(Table3[[#This Row],[Marker Name / Summenformel]],BaseInfos_Table[],3,FALSE)</f>
        <v>578-95-0</v>
      </c>
      <c r="D49" s="38" t="str">
        <f>VLOOKUP(Table3[[#This Row],[Marker Name / Summenformel]],BaseInfos_Table[],4,FALSE)</f>
        <v>209-434-7</v>
      </c>
      <c r="E49" s="38" t="str">
        <f>VLOOKUP(Table3[[#This Row],[Marker Name / Summenformel]],BaseInfos_Table[],5,FALSE)</f>
        <v>Smith et al., 2004 / Journal of Fluorescence</v>
      </c>
      <c r="F49" s="38" t="str">
        <f>VLOOKUP(Table3[[#This Row],[Marker Name / Summenformel]],BaseInfos_Table[],6,FALSE)</f>
        <v>UV-Vis</v>
      </c>
      <c r="G49" s="38" t="str">
        <f>VLOOKUP(Table3[[#This Row],[Marker Name / Summenformel]],BaseInfos_Table[],7,FALSE)</f>
        <v>Y</v>
      </c>
      <c r="H49" s="38" t="str">
        <f>VLOOKUP(Table3[[#This Row],[Marker Name / Summenformel]],BaseInfos_Table[],8,FALSE)</f>
        <v>n.a.</v>
      </c>
      <c r="I49" s="38" t="str">
        <f>VLOOKUP(Table3[[#This Row],[Marker Name / Summenformel]],BaseInfos_Table[],9,FALSE)</f>
        <v>https://echa.europa.eu/de/substance-information/-/substanceinfo/100.008.578</v>
      </c>
      <c r="J49" s="38" t="str">
        <f>VLOOKUP(Table3[[#This Row],[Marker Name / Summenformel]],BaseInfos_Table[],10,FALSE)</f>
        <v>https://www.sigmaaldrich.com/AT/de/product/aldrich/150215</v>
      </c>
      <c r="K49" s="38">
        <f>VLOOKUP(Table3[[#This Row],[Marker Name / Summenformel]],BaseInfos_Table[],11,FALSE)</f>
        <v>0</v>
      </c>
      <c r="L49" s="10" t="str">
        <f>VLOOKUP(Table3[[#This Row],[Marker Name / Summenformel]],GHS_Table[#All],3,FALSE)</f>
        <v>CLP</v>
      </c>
      <c r="M49" s="10" t="str">
        <f>VLOOKUP(Table3[[#This Row],[Marker Name / Summenformel]],GHS_Table[#All],4,FALSE)</f>
        <v>n.a.</v>
      </c>
      <c r="N49" s="10">
        <f>VLOOKUP(Table3[[#This Row],[Marker Name / Summenformel]],GHS_Table[#All],5,FALSE)</f>
        <v>2</v>
      </c>
      <c r="O49" s="10">
        <f>VLOOKUP(Table3[[#This Row],[Marker Name / Summenformel]],GHS_Table[#All],6,FALSE)</f>
        <v>0</v>
      </c>
      <c r="P49" s="38" t="str">
        <f>VLOOKUP(Table3[[#This Row],[Marker Name / Summenformel]],PhysChem_Table[],3,FALSE)</f>
        <v>solid: powder</v>
      </c>
      <c r="Q49" s="38" t="str">
        <f>VLOOKUP(Table3[[#This Row],[Marker Name / Summenformel]],PhysChem_Table[],4,FALSE)</f>
        <v>yellow-green</v>
      </c>
      <c r="R49" s="38">
        <f>VLOOKUP(Table3[[#This Row],[Marker Name / Summenformel]],PhysChem_Table[],5,FALSE)</f>
        <v>300</v>
      </c>
      <c r="S49" s="38" t="str">
        <f>VLOOKUP(Table3[[#This Row],[Marker Name / Summenformel]],PhysChem_Table[],6,FALSE)</f>
        <v>n.s.</v>
      </c>
      <c r="T49" s="38">
        <f>VLOOKUP(Table3[[#This Row],[Marker Name / Summenformel]],PhysChem_Table[],7,FALSE)</f>
        <v>355</v>
      </c>
      <c r="U49" s="38" t="str">
        <f>VLOOKUP(Table3[[#This Row],[Marker Name / Summenformel]],PhysChem_Table[],8,FALSE)</f>
        <v>n.s.</v>
      </c>
      <c r="V49" s="38">
        <f>VLOOKUP(Table3[[#This Row],[Marker Name / Summenformel]],PhysChem_Table[],9,FALSE)</f>
        <v>1.2</v>
      </c>
      <c r="W49" s="38" t="str">
        <f>VLOOKUP(Table3[[#This Row],[Marker Name / Summenformel]],PhysChem_Table[],10,FALSE)</f>
        <v>n.s.</v>
      </c>
      <c r="X49" s="38" t="str">
        <f>VLOOKUP(Table3[[#This Row],[Marker Name / Summenformel]],PhysChem_Table[],11,FALSE)</f>
        <v>n.a.</v>
      </c>
      <c r="Y49" s="38" t="str">
        <f>VLOOKUP(Table3[[#This Row],[Marker Name / Summenformel]],PhysChem_Table[],12,FALSE)</f>
        <v>n.a.</v>
      </c>
      <c r="Z49" s="38" t="str">
        <f>VLOOKUP(Table3[[#This Row],[Marker Name / Summenformel]],PhysChem_Table[],13,FALSE)</f>
        <v>n.a.</v>
      </c>
      <c r="AA49" s="38">
        <f>VLOOKUP(Table3[[#This Row],[Marker Name / Summenformel]],PhysChem_Table[],14,FALSE)</f>
        <v>2.57</v>
      </c>
      <c r="AB49" s="38" t="str">
        <f>VLOOKUP(Table3[[#This Row],[Marker Name / Summenformel]],PhysChem_Table[],15,FALSE)</f>
        <v>n.s.</v>
      </c>
      <c r="AC49" s="38" t="str">
        <f>VLOOKUP(Table3[[#This Row],[Marker Name / Summenformel]],PhysChem_Table[],16,FALSE)</f>
        <v>n.a.</v>
      </c>
      <c r="AD49" s="38" t="str">
        <f>VLOOKUP(Table3[[#This Row],[Marker Name / Summenformel]],PhysChem_Table[],17,FALSE)</f>
        <v>n.a.</v>
      </c>
      <c r="AE49" s="38" t="str">
        <f>VLOOKUP(Table3[[#This Row],[Marker Name / Summenformel]],PhysChem_Table[],18,FALSE)</f>
        <v>n.a.</v>
      </c>
      <c r="AF49" s="38" t="str">
        <f>VLOOKUP(Table3[[#This Row],[Marker Name / Summenformel]],PhysChem_Table[],19,FALSE)</f>
        <v>n.a.</v>
      </c>
      <c r="AG49" s="38" t="str">
        <f>VLOOKUP(Table3[[#This Row],[Marker Name / Summenformel]],PhysChem_Table[],20,FALSE)</f>
        <v>n.a.</v>
      </c>
      <c r="AH49" s="38" t="str">
        <f>VLOOKUP(Table3[[#This Row],[Marker Name / Summenformel]],PhysChem_Table[],21,FALSE)</f>
        <v>n.a.</v>
      </c>
      <c r="AI49" s="38">
        <f>VLOOKUP(Table3[[#This Row],[Marker Name / Summenformel]],PhysChem_Table[],22,FALSE)</f>
        <v>155</v>
      </c>
      <c r="AJ49" s="38" t="str">
        <f>VLOOKUP(Table3[[#This Row],[Marker Name / Summenformel]],PhysChem_Table[],23,FALSE)</f>
        <v>n.s.</v>
      </c>
      <c r="AK49" s="38" t="str">
        <f>VLOOKUP(Table3[[#This Row],[Marker Name / Summenformel]],PhysChem_Table[],24,FALSE)</f>
        <v>n.a.</v>
      </c>
      <c r="AL49" s="38" t="str">
        <f>VLOOKUP(Table3[[#This Row],[Marker Name / Summenformel]],PhysChem_Table[],25,FALSE)</f>
        <v>n.a.</v>
      </c>
      <c r="AM49" s="38" t="str">
        <f>VLOOKUP(Table3[[#This Row],[Marker Name / Summenformel]],PhysChem_Table[],26,FALSE)</f>
        <v>n.a.</v>
      </c>
      <c r="AN49" s="38" t="str">
        <f>VLOOKUP(Table3[[#This Row],[Marker Name / Summenformel]],PhysChem_Table[],27,FALSE)</f>
        <v>n.a.</v>
      </c>
      <c r="AO49" s="38" t="str">
        <f>VLOOKUP(Table3[[#This Row],[Marker Name / Summenformel]],PhysChem_Table[],28,FALSE)</f>
        <v>n.a.</v>
      </c>
      <c r="AP49" s="38" t="str">
        <f>VLOOKUP(Table3[[#This Row],[Marker Name / Summenformel]],PhysChem_Table[],29,FALSE)</f>
        <v>n.a.</v>
      </c>
      <c r="AQ49" s="38" t="str">
        <f>VLOOKUP(Table3[[#This Row],[Marker Name / Summenformel]],PhysChem_Table[],30,FALSE)</f>
        <v>n.a.</v>
      </c>
      <c r="AR49" s="38" t="str">
        <f>VLOOKUP(Table3[[#This Row],[Marker Name / Summenformel]],PhysChem_Table[],31,FALSE)</f>
        <v>n.a.</v>
      </c>
      <c r="AS49" s="38" t="str">
        <f>VLOOKUP(Table3[[#This Row],[Marker Name / Summenformel]],PhysChem_Table[],32,FALSE)</f>
        <v>n.a.</v>
      </c>
      <c r="AT49" s="38" t="str">
        <f>VLOOKUP(Table3[[#This Row],[Marker Name / Summenformel]],PhysChem_Table[],33,FALSE)</f>
        <v>n.a.</v>
      </c>
      <c r="AU49" s="38" t="str">
        <f>VLOOKUP(Table3[[#This Row],[Marker Name / Summenformel]],PhysChem_Table[],34,FALSE)</f>
        <v>http://www.chemspider.com/Chemical-Structure.10188539.html</v>
      </c>
      <c r="AV49" s="10">
        <f>VLOOKUP(Table3[[#This Row],[Marker Name / Summenformel]],PhysChem_Table[],35,FALSE)</f>
        <v>0</v>
      </c>
    </row>
    <row r="50" spans="1:48" x14ac:dyDescent="0.3">
      <c r="A50" s="10" t="s">
        <v>439</v>
      </c>
      <c r="B50" s="38" t="str">
        <f>VLOOKUP(Table3[[#This Row],[Marker Name / Summenformel]],BaseInfos_Table[],2,FALSE)</f>
        <v>modified acridone</v>
      </c>
      <c r="C50" s="38" t="str">
        <f>VLOOKUP(Table3[[#This Row],[Marker Name / Summenformel]],BaseInfos_Table[],3,FALSE)</f>
        <v>38609-97-1</v>
      </c>
      <c r="D50" s="38" t="str">
        <f>VLOOKUP(Table3[[#This Row],[Marker Name / Summenformel]],BaseInfos_Table[],4,FALSE)</f>
        <v>634-833-1</v>
      </c>
      <c r="E50" s="38" t="str">
        <f>VLOOKUP(Table3[[#This Row],[Marker Name / Summenformel]],BaseInfos_Table[],5,FALSE)</f>
        <v>Smith et al., 2004 / Journal of Fluorescence</v>
      </c>
      <c r="F50" s="38" t="str">
        <f>VLOOKUP(Table3[[#This Row],[Marker Name / Summenformel]],BaseInfos_Table[],6,FALSE)</f>
        <v>UV-Vis</v>
      </c>
      <c r="G50" s="38" t="str">
        <f>VLOOKUP(Table3[[#This Row],[Marker Name / Summenformel]],BaseInfos_Table[],7,FALSE)</f>
        <v>Y</v>
      </c>
      <c r="H50" s="38" t="str">
        <f>VLOOKUP(Table3[[#This Row],[Marker Name / Summenformel]],BaseInfos_Table[],8,FALSE)</f>
        <v>n.a.</v>
      </c>
      <c r="I50" s="38" t="str">
        <f>VLOOKUP(Table3[[#This Row],[Marker Name / Summenformel]],BaseInfos_Table[],9,FALSE)</f>
        <v>https://echa.europa.eu/de/substance-information/-/substanceinfo/100.162.778</v>
      </c>
      <c r="J50" s="38" t="str">
        <f>VLOOKUP(Table3[[#This Row],[Marker Name / Summenformel]],BaseInfos_Table[],10,FALSE)</f>
        <v>https://www.sigmaaldrich.com/AT/de/product/sigma/17927</v>
      </c>
      <c r="K50" s="38">
        <f>VLOOKUP(Table3[[#This Row],[Marker Name / Summenformel]],BaseInfos_Table[],11,FALSE)</f>
        <v>0</v>
      </c>
      <c r="L50" s="10" t="str">
        <f>VLOOKUP(Table3[[#This Row],[Marker Name / Summenformel]],GHS_Table[#All],3,FALSE)</f>
        <v>CLP</v>
      </c>
      <c r="M50" s="10" t="str">
        <f>VLOOKUP(Table3[[#This Row],[Marker Name / Summenformel]],GHS_Table[#All],4,FALSE)</f>
        <v>n.a.</v>
      </c>
      <c r="N50" s="10">
        <f>VLOOKUP(Table3[[#This Row],[Marker Name / Summenformel]],GHS_Table[#All],5,FALSE)</f>
        <v>3</v>
      </c>
      <c r="O50" s="10">
        <f>VLOOKUP(Table3[[#This Row],[Marker Name / Summenformel]],GHS_Table[#All],6,FALSE)</f>
        <v>0</v>
      </c>
      <c r="P50" s="38" t="str">
        <f>VLOOKUP(Table3[[#This Row],[Marker Name / Summenformel]],PhysChem_Table[],3,FALSE)</f>
        <v>solid: crystalline</v>
      </c>
      <c r="Q50" s="38" t="str">
        <f>VLOOKUP(Table3[[#This Row],[Marker Name / Summenformel]],PhysChem_Table[],4,FALSE)</f>
        <v>light yellow</v>
      </c>
      <c r="R50" s="38">
        <f>VLOOKUP(Table3[[#This Row],[Marker Name / Summenformel]],PhysChem_Table[],5,FALSE)</f>
        <v>289</v>
      </c>
      <c r="S50" s="38" t="str">
        <f>VLOOKUP(Table3[[#This Row],[Marker Name / Summenformel]],PhysChem_Table[],6,FALSE)</f>
        <v>n.s.</v>
      </c>
      <c r="T50" s="38">
        <f>VLOOKUP(Table3[[#This Row],[Marker Name / Summenformel]],PhysChem_Table[],7,FALSE)</f>
        <v>486</v>
      </c>
      <c r="U50" s="38" t="str">
        <f>VLOOKUP(Table3[[#This Row],[Marker Name / Summenformel]],PhysChem_Table[],8,FALSE)</f>
        <v>n.s.</v>
      </c>
      <c r="V50" s="38">
        <f>VLOOKUP(Table3[[#This Row],[Marker Name / Summenformel]],PhysChem_Table[],9,FALSE)</f>
        <v>1.3620000000000001</v>
      </c>
      <c r="W50" s="38" t="str">
        <f>VLOOKUP(Table3[[#This Row],[Marker Name / Summenformel]],PhysChem_Table[],10,FALSE)</f>
        <v>n.s.</v>
      </c>
      <c r="X50" s="38" t="str">
        <f>VLOOKUP(Table3[[#This Row],[Marker Name / Summenformel]],PhysChem_Table[],11,FALSE)</f>
        <v>n.a.</v>
      </c>
      <c r="Y50" s="38" t="str">
        <f>VLOOKUP(Table3[[#This Row],[Marker Name / Summenformel]],PhysChem_Table[],12,FALSE)</f>
        <v>n.a.</v>
      </c>
      <c r="Z50" s="38" t="str">
        <f>VLOOKUP(Table3[[#This Row],[Marker Name / Summenformel]],PhysChem_Table[],13,FALSE)</f>
        <v>n.a.</v>
      </c>
      <c r="AA50" s="38">
        <f>VLOOKUP(Table3[[#This Row],[Marker Name / Summenformel]],PhysChem_Table[],14,FALSE)</f>
        <v>1.327</v>
      </c>
      <c r="AB50" s="38" t="str">
        <f>VLOOKUP(Table3[[#This Row],[Marker Name / Summenformel]],PhysChem_Table[],15,FALSE)</f>
        <v>n.s.</v>
      </c>
      <c r="AC50" s="38" t="str">
        <f>VLOOKUP(Table3[[#This Row],[Marker Name / Summenformel]],PhysChem_Table[],16,FALSE)</f>
        <v>n.a.</v>
      </c>
      <c r="AD50" s="38" t="str">
        <f>VLOOKUP(Table3[[#This Row],[Marker Name / Summenformel]],PhysChem_Table[],17,FALSE)</f>
        <v>n.a.</v>
      </c>
      <c r="AE50" s="38" t="str">
        <f>VLOOKUP(Table3[[#This Row],[Marker Name / Summenformel]],PhysChem_Table[],18,FALSE)</f>
        <v>DMSO</v>
      </c>
      <c r="AF50" s="38">
        <f>VLOOKUP(Table3[[#This Row],[Marker Name / Summenformel]],PhysChem_Table[],19,FALSE)</f>
        <v>25.3</v>
      </c>
      <c r="AG50" s="38" t="str">
        <f>VLOOKUP(Table3[[#This Row],[Marker Name / Summenformel]],PhysChem_Table[],20,FALSE)</f>
        <v>n.s.</v>
      </c>
      <c r="AH50" s="38" t="str">
        <f>VLOOKUP(Table3[[#This Row],[Marker Name / Summenformel]],PhysChem_Table[],21,FALSE)</f>
        <v>n.a.</v>
      </c>
      <c r="AI50" s="38" t="str">
        <f>VLOOKUP(Table3[[#This Row],[Marker Name / Summenformel]],PhysChem_Table[],22,FALSE)</f>
        <v>n.a.</v>
      </c>
      <c r="AJ50" s="38" t="str">
        <f>VLOOKUP(Table3[[#This Row],[Marker Name / Summenformel]],PhysChem_Table[],23,FALSE)</f>
        <v>n.a.</v>
      </c>
      <c r="AK50" s="38" t="str">
        <f>VLOOKUP(Table3[[#This Row],[Marker Name / Summenformel]],PhysChem_Table[],24,FALSE)</f>
        <v>n.a.</v>
      </c>
      <c r="AL50" s="38" t="str">
        <f>VLOOKUP(Table3[[#This Row],[Marker Name / Summenformel]],PhysChem_Table[],25,FALSE)</f>
        <v>n.a.</v>
      </c>
      <c r="AM50" s="38" t="str">
        <f>VLOOKUP(Table3[[#This Row],[Marker Name / Summenformel]],PhysChem_Table[],26,FALSE)</f>
        <v>n.a.</v>
      </c>
      <c r="AN50" s="38" t="str">
        <f>VLOOKUP(Table3[[#This Row],[Marker Name / Summenformel]],PhysChem_Table[],27,FALSE)</f>
        <v>n.a.</v>
      </c>
      <c r="AO50" s="38" t="str">
        <f>VLOOKUP(Table3[[#This Row],[Marker Name / Summenformel]],PhysChem_Table[],28,FALSE)</f>
        <v>n.a.</v>
      </c>
      <c r="AP50" s="38" t="str">
        <f>VLOOKUP(Table3[[#This Row],[Marker Name / Summenformel]],PhysChem_Table[],29,FALSE)</f>
        <v>n.a.</v>
      </c>
      <c r="AQ50" s="38" t="str">
        <f>VLOOKUP(Table3[[#This Row],[Marker Name / Summenformel]],PhysChem_Table[],30,FALSE)</f>
        <v>n.a.</v>
      </c>
      <c r="AR50" s="38" t="str">
        <f>VLOOKUP(Table3[[#This Row],[Marker Name / Summenformel]],PhysChem_Table[],31,FALSE)</f>
        <v>n.a.</v>
      </c>
      <c r="AS50" s="38" t="str">
        <f>VLOOKUP(Table3[[#This Row],[Marker Name / Summenformel]],PhysChem_Table[],32,FALSE)</f>
        <v>n.a.</v>
      </c>
      <c r="AT50" s="38" t="str">
        <f>VLOOKUP(Table3[[#This Row],[Marker Name / Summenformel]],PhysChem_Table[],33,FALSE)</f>
        <v>n.a.</v>
      </c>
      <c r="AU50" s="38" t="str">
        <f>VLOOKUP(Table3[[#This Row],[Marker Name / Summenformel]],PhysChem_Table[],34,FALSE)</f>
        <v>http://www.chemspider.com/Chemical-Structure.34903.html?rid=d93ed3e0-ce37-4d61-8556-f9053c65e2b0</v>
      </c>
      <c r="AV50" s="10" t="str">
        <f>VLOOKUP(Table3[[#This Row],[Marker Name / Summenformel]],PhysChem_Table[],35,FALSE)</f>
        <v>https://www.sigmaaldrich.com/AT/en/sds/sigma/17927</v>
      </c>
    </row>
    <row r="51" spans="1:48" x14ac:dyDescent="0.3">
      <c r="A51" s="10" t="s">
        <v>437</v>
      </c>
      <c r="B51" s="38" t="str">
        <f>VLOOKUP(Table3[[#This Row],[Marker Name / Summenformel]],BaseInfos_Table[],2,FALSE)</f>
        <v>modified acridone</v>
      </c>
      <c r="C51" s="38" t="str">
        <f>VLOOKUP(Table3[[#This Row],[Marker Name / Summenformel]],BaseInfos_Table[],3,FALSE)</f>
        <v>n.a.</v>
      </c>
      <c r="D51" s="38" t="str">
        <f>VLOOKUP(Table3[[#This Row],[Marker Name / Summenformel]],BaseInfos_Table[],4,FALSE)</f>
        <v>n.a.</v>
      </c>
      <c r="E51" s="38" t="str">
        <f>VLOOKUP(Table3[[#This Row],[Marker Name / Summenformel]],BaseInfos_Table[],5,FALSE)</f>
        <v>Smith et al., 2004 / Journal of Fluorescence</v>
      </c>
      <c r="F51" s="38" t="str">
        <f>VLOOKUP(Table3[[#This Row],[Marker Name / Summenformel]],BaseInfos_Table[],6,FALSE)</f>
        <v>UV-Vis</v>
      </c>
      <c r="G51" s="38" t="str">
        <f>VLOOKUP(Table3[[#This Row],[Marker Name / Summenformel]],BaseInfos_Table[],7,FALSE)</f>
        <v>N</v>
      </c>
      <c r="H51" s="38" t="str">
        <f>VLOOKUP(Table3[[#This Row],[Marker Name / Summenformel]],BaseInfos_Table[],8,FALSE)</f>
        <v>n.a.</v>
      </c>
      <c r="I51" s="38" t="str">
        <f>VLOOKUP(Table3[[#This Row],[Marker Name / Summenformel]],BaseInfos_Table[],9,FALSE)</f>
        <v>n.a.</v>
      </c>
      <c r="J51" s="38" t="str">
        <f>VLOOKUP(Table3[[#This Row],[Marker Name / Summenformel]],BaseInfos_Table[],10,FALSE)</f>
        <v>n.a.</v>
      </c>
      <c r="K51" s="38">
        <f>VLOOKUP(Table3[[#This Row],[Marker Name / Summenformel]],BaseInfos_Table[],11,FALSE)</f>
        <v>0</v>
      </c>
      <c r="L51" s="10" t="str">
        <f>VLOOKUP(Table3[[#This Row],[Marker Name / Summenformel]],GHS_Table[#All],3,FALSE)</f>
        <v>n.a.</v>
      </c>
      <c r="M51" s="10" t="str">
        <f>VLOOKUP(Table3[[#This Row],[Marker Name / Summenformel]],GHS_Table[#All],4,FALSE)</f>
        <v>n.a.</v>
      </c>
      <c r="N51" s="10" t="str">
        <f>VLOOKUP(Table3[[#This Row],[Marker Name / Summenformel]],GHS_Table[#All],5,FALSE)</f>
        <v>n.a.</v>
      </c>
      <c r="O51" s="10" t="str">
        <f>VLOOKUP(Table3[[#This Row],[Marker Name / Summenformel]],GHS_Table[#All],6,FALSE)</f>
        <v>n.a.</v>
      </c>
      <c r="P51" s="38" t="str">
        <f>VLOOKUP(Table3[[#This Row],[Marker Name / Summenformel]],PhysChem_Table[],3,FALSE)</f>
        <v>n.a.</v>
      </c>
      <c r="Q51" s="38" t="str">
        <f>VLOOKUP(Table3[[#This Row],[Marker Name / Summenformel]],PhysChem_Table[],4,FALSE)</f>
        <v>n.a.</v>
      </c>
      <c r="R51" s="38" t="str">
        <f>VLOOKUP(Table3[[#This Row],[Marker Name / Summenformel]],PhysChem_Table[],5,FALSE)</f>
        <v>n.a.</v>
      </c>
      <c r="S51" s="38" t="str">
        <f>VLOOKUP(Table3[[#This Row],[Marker Name / Summenformel]],PhysChem_Table[],6,FALSE)</f>
        <v>n.a.</v>
      </c>
      <c r="T51" s="38" t="str">
        <f>VLOOKUP(Table3[[#This Row],[Marker Name / Summenformel]],PhysChem_Table[],7,FALSE)</f>
        <v>n.a.</v>
      </c>
      <c r="U51" s="38" t="str">
        <f>VLOOKUP(Table3[[#This Row],[Marker Name / Summenformel]],PhysChem_Table[],8,FALSE)</f>
        <v>n.a.</v>
      </c>
      <c r="V51" s="38" t="str">
        <f>VLOOKUP(Table3[[#This Row],[Marker Name / Summenformel]],PhysChem_Table[],9,FALSE)</f>
        <v>n.a.</v>
      </c>
      <c r="W51" s="38" t="str">
        <f>VLOOKUP(Table3[[#This Row],[Marker Name / Summenformel]],PhysChem_Table[],10,FALSE)</f>
        <v>n.a.</v>
      </c>
      <c r="X51" s="38" t="str">
        <f>VLOOKUP(Table3[[#This Row],[Marker Name / Summenformel]],PhysChem_Table[],11,FALSE)</f>
        <v>n.a.</v>
      </c>
      <c r="Y51" s="38" t="str">
        <f>VLOOKUP(Table3[[#This Row],[Marker Name / Summenformel]],PhysChem_Table[],12,FALSE)</f>
        <v>n.a.</v>
      </c>
      <c r="Z51" s="38" t="str">
        <f>VLOOKUP(Table3[[#This Row],[Marker Name / Summenformel]],PhysChem_Table[],13,FALSE)</f>
        <v>n.a.</v>
      </c>
      <c r="AA51" s="38" t="str">
        <f>VLOOKUP(Table3[[#This Row],[Marker Name / Summenformel]],PhysChem_Table[],14,FALSE)</f>
        <v>n.a.</v>
      </c>
      <c r="AB51" s="38" t="str">
        <f>VLOOKUP(Table3[[#This Row],[Marker Name / Summenformel]],PhysChem_Table[],15,FALSE)</f>
        <v>n.a.</v>
      </c>
      <c r="AC51" s="38" t="str">
        <f>VLOOKUP(Table3[[#This Row],[Marker Name / Summenformel]],PhysChem_Table[],16,FALSE)</f>
        <v>n.a.</v>
      </c>
      <c r="AD51" s="38" t="str">
        <f>VLOOKUP(Table3[[#This Row],[Marker Name / Summenformel]],PhysChem_Table[],17,FALSE)</f>
        <v>n.a.</v>
      </c>
      <c r="AE51" s="38" t="str">
        <f>VLOOKUP(Table3[[#This Row],[Marker Name / Summenformel]],PhysChem_Table[],18,FALSE)</f>
        <v>n.a.</v>
      </c>
      <c r="AF51" s="38" t="str">
        <f>VLOOKUP(Table3[[#This Row],[Marker Name / Summenformel]],PhysChem_Table[],19,FALSE)</f>
        <v>n.a.</v>
      </c>
      <c r="AG51" s="38" t="str">
        <f>VLOOKUP(Table3[[#This Row],[Marker Name / Summenformel]],PhysChem_Table[],20,FALSE)</f>
        <v>n.a.</v>
      </c>
      <c r="AH51" s="38" t="str">
        <f>VLOOKUP(Table3[[#This Row],[Marker Name / Summenformel]],PhysChem_Table[],21,FALSE)</f>
        <v>n.a.</v>
      </c>
      <c r="AI51" s="38" t="str">
        <f>VLOOKUP(Table3[[#This Row],[Marker Name / Summenformel]],PhysChem_Table[],22,FALSE)</f>
        <v>n.a.</v>
      </c>
      <c r="AJ51" s="38" t="str">
        <f>VLOOKUP(Table3[[#This Row],[Marker Name / Summenformel]],PhysChem_Table[],23,FALSE)</f>
        <v>n.a.</v>
      </c>
      <c r="AK51" s="38" t="str">
        <f>VLOOKUP(Table3[[#This Row],[Marker Name / Summenformel]],PhysChem_Table[],24,FALSE)</f>
        <v>n.a.</v>
      </c>
      <c r="AL51" s="38" t="str">
        <f>VLOOKUP(Table3[[#This Row],[Marker Name / Summenformel]],PhysChem_Table[],25,FALSE)</f>
        <v>n.a.</v>
      </c>
      <c r="AM51" s="38" t="str">
        <f>VLOOKUP(Table3[[#This Row],[Marker Name / Summenformel]],PhysChem_Table[],26,FALSE)</f>
        <v>n.a.</v>
      </c>
      <c r="AN51" s="38" t="str">
        <f>VLOOKUP(Table3[[#This Row],[Marker Name / Summenformel]],PhysChem_Table[],27,FALSE)</f>
        <v>n.a.</v>
      </c>
      <c r="AO51" s="38" t="str">
        <f>VLOOKUP(Table3[[#This Row],[Marker Name / Summenformel]],PhysChem_Table[],28,FALSE)</f>
        <v>n.a.</v>
      </c>
      <c r="AP51" s="38" t="str">
        <f>VLOOKUP(Table3[[#This Row],[Marker Name / Summenformel]],PhysChem_Table[],29,FALSE)</f>
        <v>n.a.</v>
      </c>
      <c r="AQ51" s="38" t="str">
        <f>VLOOKUP(Table3[[#This Row],[Marker Name / Summenformel]],PhysChem_Table[],30,FALSE)</f>
        <v>n.a.</v>
      </c>
      <c r="AR51" s="38" t="str">
        <f>VLOOKUP(Table3[[#This Row],[Marker Name / Summenformel]],PhysChem_Table[],31,FALSE)</f>
        <v>n.a.</v>
      </c>
      <c r="AS51" s="38" t="str">
        <f>VLOOKUP(Table3[[#This Row],[Marker Name / Summenformel]],PhysChem_Table[],32,FALSE)</f>
        <v>n.a.</v>
      </c>
      <c r="AT51" s="38" t="str">
        <f>VLOOKUP(Table3[[#This Row],[Marker Name / Summenformel]],PhysChem_Table[],33,FALSE)</f>
        <v>n.a.</v>
      </c>
      <c r="AU51" s="38" t="str">
        <f>VLOOKUP(Table3[[#This Row],[Marker Name / Summenformel]],PhysChem_Table[],34,FALSE)</f>
        <v>n.a.</v>
      </c>
      <c r="AV51" s="10">
        <f>VLOOKUP(Table3[[#This Row],[Marker Name / Summenformel]],PhysChem_Table[],35,FALSE)</f>
        <v>0</v>
      </c>
    </row>
    <row r="52" spans="1:48" x14ac:dyDescent="0.3">
      <c r="A52" s="10" t="s">
        <v>438</v>
      </c>
      <c r="B52" s="38" t="str">
        <f>VLOOKUP(Table3[[#This Row],[Marker Name / Summenformel]],BaseInfos_Table[],2,FALSE)</f>
        <v>modified acridone</v>
      </c>
      <c r="C52" s="38" t="str">
        <f>VLOOKUP(Table3[[#This Row],[Marker Name / Summenformel]],BaseInfos_Table[],3,FALSE)</f>
        <v>n.a.</v>
      </c>
      <c r="D52" s="38" t="str">
        <f>VLOOKUP(Table3[[#This Row],[Marker Name / Summenformel]],BaseInfos_Table[],4,FALSE)</f>
        <v>n.a.</v>
      </c>
      <c r="E52" s="38" t="str">
        <f>VLOOKUP(Table3[[#This Row],[Marker Name / Summenformel]],BaseInfos_Table[],5,FALSE)</f>
        <v>Smith et al., 2004 / Journal of Fluorescence</v>
      </c>
      <c r="F52" s="38" t="str">
        <f>VLOOKUP(Table3[[#This Row],[Marker Name / Summenformel]],BaseInfos_Table[],6,FALSE)</f>
        <v>UV-Vis</v>
      </c>
      <c r="G52" s="38" t="str">
        <f>VLOOKUP(Table3[[#This Row],[Marker Name / Summenformel]],BaseInfos_Table[],7,FALSE)</f>
        <v>N</v>
      </c>
      <c r="H52" s="38" t="str">
        <f>VLOOKUP(Table3[[#This Row],[Marker Name / Summenformel]],BaseInfos_Table[],8,FALSE)</f>
        <v>n.a.</v>
      </c>
      <c r="I52" s="38" t="str">
        <f>VLOOKUP(Table3[[#This Row],[Marker Name / Summenformel]],BaseInfos_Table[],9,FALSE)</f>
        <v>n.a.</v>
      </c>
      <c r="J52" s="38" t="str">
        <f>VLOOKUP(Table3[[#This Row],[Marker Name / Summenformel]],BaseInfos_Table[],10,FALSE)</f>
        <v>n.a.</v>
      </c>
      <c r="K52" s="38">
        <f>VLOOKUP(Table3[[#This Row],[Marker Name / Summenformel]],BaseInfos_Table[],11,FALSE)</f>
        <v>0</v>
      </c>
      <c r="L52" s="10" t="str">
        <f>VLOOKUP(Table3[[#This Row],[Marker Name / Summenformel]],GHS_Table[#All],3,FALSE)</f>
        <v>n.a.</v>
      </c>
      <c r="M52" s="10" t="str">
        <f>VLOOKUP(Table3[[#This Row],[Marker Name / Summenformel]],GHS_Table[#All],4,FALSE)</f>
        <v>n.a.</v>
      </c>
      <c r="N52" s="10" t="str">
        <f>VLOOKUP(Table3[[#This Row],[Marker Name / Summenformel]],GHS_Table[#All],5,FALSE)</f>
        <v>n.a.</v>
      </c>
      <c r="O52" s="10" t="str">
        <f>VLOOKUP(Table3[[#This Row],[Marker Name / Summenformel]],GHS_Table[#All],6,FALSE)</f>
        <v>n.a.</v>
      </c>
      <c r="P52" s="38" t="str">
        <f>VLOOKUP(Table3[[#This Row],[Marker Name / Summenformel]],PhysChem_Table[],3,FALSE)</f>
        <v>n.a.</v>
      </c>
      <c r="Q52" s="38" t="str">
        <f>VLOOKUP(Table3[[#This Row],[Marker Name / Summenformel]],PhysChem_Table[],4,FALSE)</f>
        <v>n.a.</v>
      </c>
      <c r="R52" s="38" t="str">
        <f>VLOOKUP(Table3[[#This Row],[Marker Name / Summenformel]],PhysChem_Table[],5,FALSE)</f>
        <v>n.a.</v>
      </c>
      <c r="S52" s="38" t="str">
        <f>VLOOKUP(Table3[[#This Row],[Marker Name / Summenformel]],PhysChem_Table[],6,FALSE)</f>
        <v>n.a.</v>
      </c>
      <c r="T52" s="38" t="str">
        <f>VLOOKUP(Table3[[#This Row],[Marker Name / Summenformel]],PhysChem_Table[],7,FALSE)</f>
        <v>n.a.</v>
      </c>
      <c r="U52" s="38" t="str">
        <f>VLOOKUP(Table3[[#This Row],[Marker Name / Summenformel]],PhysChem_Table[],8,FALSE)</f>
        <v>n.a.</v>
      </c>
      <c r="V52" s="38" t="str">
        <f>VLOOKUP(Table3[[#This Row],[Marker Name / Summenformel]],PhysChem_Table[],9,FALSE)</f>
        <v>n.a.</v>
      </c>
      <c r="W52" s="38" t="str">
        <f>VLOOKUP(Table3[[#This Row],[Marker Name / Summenformel]],PhysChem_Table[],10,FALSE)</f>
        <v>n.a.</v>
      </c>
      <c r="X52" s="38" t="str">
        <f>VLOOKUP(Table3[[#This Row],[Marker Name / Summenformel]],PhysChem_Table[],11,FALSE)</f>
        <v>n.a.</v>
      </c>
      <c r="Y52" s="38" t="str">
        <f>VLOOKUP(Table3[[#This Row],[Marker Name / Summenformel]],PhysChem_Table[],12,FALSE)</f>
        <v>n.a.</v>
      </c>
      <c r="Z52" s="38" t="str">
        <f>VLOOKUP(Table3[[#This Row],[Marker Name / Summenformel]],PhysChem_Table[],13,FALSE)</f>
        <v>n.a.</v>
      </c>
      <c r="AA52" s="38" t="str">
        <f>VLOOKUP(Table3[[#This Row],[Marker Name / Summenformel]],PhysChem_Table[],14,FALSE)</f>
        <v>n.a.</v>
      </c>
      <c r="AB52" s="38" t="str">
        <f>VLOOKUP(Table3[[#This Row],[Marker Name / Summenformel]],PhysChem_Table[],15,FALSE)</f>
        <v>n.a.</v>
      </c>
      <c r="AC52" s="38" t="str">
        <f>VLOOKUP(Table3[[#This Row],[Marker Name / Summenformel]],PhysChem_Table[],16,FALSE)</f>
        <v>n.a.</v>
      </c>
      <c r="AD52" s="38" t="str">
        <f>VLOOKUP(Table3[[#This Row],[Marker Name / Summenformel]],PhysChem_Table[],17,FALSE)</f>
        <v>n.a.</v>
      </c>
      <c r="AE52" s="38" t="str">
        <f>VLOOKUP(Table3[[#This Row],[Marker Name / Summenformel]],PhysChem_Table[],18,FALSE)</f>
        <v>n.a.</v>
      </c>
      <c r="AF52" s="38" t="str">
        <f>VLOOKUP(Table3[[#This Row],[Marker Name / Summenformel]],PhysChem_Table[],19,FALSE)</f>
        <v>n.a.</v>
      </c>
      <c r="AG52" s="38" t="str">
        <f>VLOOKUP(Table3[[#This Row],[Marker Name / Summenformel]],PhysChem_Table[],20,FALSE)</f>
        <v>n.a.</v>
      </c>
      <c r="AH52" s="38" t="str">
        <f>VLOOKUP(Table3[[#This Row],[Marker Name / Summenformel]],PhysChem_Table[],21,FALSE)</f>
        <v>n.a.</v>
      </c>
      <c r="AI52" s="38" t="str">
        <f>VLOOKUP(Table3[[#This Row],[Marker Name / Summenformel]],PhysChem_Table[],22,FALSE)</f>
        <v>n.a.</v>
      </c>
      <c r="AJ52" s="38" t="str">
        <f>VLOOKUP(Table3[[#This Row],[Marker Name / Summenformel]],PhysChem_Table[],23,FALSE)</f>
        <v>n.a.</v>
      </c>
      <c r="AK52" s="38" t="str">
        <f>VLOOKUP(Table3[[#This Row],[Marker Name / Summenformel]],PhysChem_Table[],24,FALSE)</f>
        <v>n.a.</v>
      </c>
      <c r="AL52" s="38" t="str">
        <f>VLOOKUP(Table3[[#This Row],[Marker Name / Summenformel]],PhysChem_Table[],25,FALSE)</f>
        <v>n.a.</v>
      </c>
      <c r="AM52" s="38" t="str">
        <f>VLOOKUP(Table3[[#This Row],[Marker Name / Summenformel]],PhysChem_Table[],26,FALSE)</f>
        <v>n.a.</v>
      </c>
      <c r="AN52" s="38" t="str">
        <f>VLOOKUP(Table3[[#This Row],[Marker Name / Summenformel]],PhysChem_Table[],27,FALSE)</f>
        <v>n.a.</v>
      </c>
      <c r="AO52" s="38" t="str">
        <f>VLOOKUP(Table3[[#This Row],[Marker Name / Summenformel]],PhysChem_Table[],28,FALSE)</f>
        <v>n.a.</v>
      </c>
      <c r="AP52" s="38" t="str">
        <f>VLOOKUP(Table3[[#This Row],[Marker Name / Summenformel]],PhysChem_Table[],29,FALSE)</f>
        <v>n.a.</v>
      </c>
      <c r="AQ52" s="38" t="str">
        <f>VLOOKUP(Table3[[#This Row],[Marker Name / Summenformel]],PhysChem_Table[],30,FALSE)</f>
        <v>n.a.</v>
      </c>
      <c r="AR52" s="38" t="str">
        <f>VLOOKUP(Table3[[#This Row],[Marker Name / Summenformel]],PhysChem_Table[],31,FALSE)</f>
        <v>n.a.</v>
      </c>
      <c r="AS52" s="38" t="str">
        <f>VLOOKUP(Table3[[#This Row],[Marker Name / Summenformel]],PhysChem_Table[],32,FALSE)</f>
        <v>n.a.</v>
      </c>
      <c r="AT52" s="38" t="str">
        <f>VLOOKUP(Table3[[#This Row],[Marker Name / Summenformel]],PhysChem_Table[],33,FALSE)</f>
        <v>n.a.</v>
      </c>
      <c r="AU52" s="38" t="str">
        <f>VLOOKUP(Table3[[#This Row],[Marker Name / Summenformel]],PhysChem_Table[],34,FALSE)</f>
        <v>n.a.</v>
      </c>
      <c r="AV52" s="10">
        <f>VLOOKUP(Table3[[#This Row],[Marker Name / Summenformel]],PhysChem_Table[],35,FALSE)</f>
        <v>0</v>
      </c>
    </row>
    <row r="53" spans="1:48" x14ac:dyDescent="0.3">
      <c r="A53" s="10" t="s">
        <v>442</v>
      </c>
      <c r="B53" s="38" t="str">
        <f>VLOOKUP(Table3[[#This Row],[Marker Name / Summenformel]],BaseInfos_Table[],2,FALSE)</f>
        <v>modified acridone</v>
      </c>
      <c r="C53" s="38" t="str">
        <f>VLOOKUP(Table3[[#This Row],[Marker Name / Summenformel]],BaseInfos_Table[],3,FALSE)</f>
        <v>n.a.</v>
      </c>
      <c r="D53" s="38" t="str">
        <f>VLOOKUP(Table3[[#This Row],[Marker Name / Summenformel]],BaseInfos_Table[],4,FALSE)</f>
        <v>n.a.</v>
      </c>
      <c r="E53" s="38" t="str">
        <f>VLOOKUP(Table3[[#This Row],[Marker Name / Summenformel]],BaseInfos_Table[],5,FALSE)</f>
        <v>Smith et al., 2004 / Journal of Fluorescence</v>
      </c>
      <c r="F53" s="38" t="str">
        <f>VLOOKUP(Table3[[#This Row],[Marker Name / Summenformel]],BaseInfos_Table[],6,FALSE)</f>
        <v>UV-Vis</v>
      </c>
      <c r="G53" s="38" t="str">
        <f>VLOOKUP(Table3[[#This Row],[Marker Name / Summenformel]],BaseInfos_Table[],7,FALSE)</f>
        <v>N</v>
      </c>
      <c r="H53" s="38" t="str">
        <f>VLOOKUP(Table3[[#This Row],[Marker Name / Summenformel]],BaseInfos_Table[],8,FALSE)</f>
        <v>n.a.</v>
      </c>
      <c r="I53" s="38" t="str">
        <f>VLOOKUP(Table3[[#This Row],[Marker Name / Summenformel]],BaseInfos_Table[],9,FALSE)</f>
        <v>n.a.</v>
      </c>
      <c r="J53" s="38" t="str">
        <f>VLOOKUP(Table3[[#This Row],[Marker Name / Summenformel]],BaseInfos_Table[],10,FALSE)</f>
        <v>n.a.</v>
      </c>
      <c r="K53" s="38">
        <f>VLOOKUP(Table3[[#This Row],[Marker Name / Summenformel]],BaseInfos_Table[],11,FALSE)</f>
        <v>0</v>
      </c>
      <c r="L53" s="10" t="str">
        <f>VLOOKUP(Table3[[#This Row],[Marker Name / Summenformel]],GHS_Table[#All],3,FALSE)</f>
        <v>n.a.</v>
      </c>
      <c r="M53" s="10" t="str">
        <f>VLOOKUP(Table3[[#This Row],[Marker Name / Summenformel]],GHS_Table[#All],4,FALSE)</f>
        <v>n.a.</v>
      </c>
      <c r="N53" s="10" t="str">
        <f>VLOOKUP(Table3[[#This Row],[Marker Name / Summenformel]],GHS_Table[#All],5,FALSE)</f>
        <v>n.a.</v>
      </c>
      <c r="O53" s="10" t="str">
        <f>VLOOKUP(Table3[[#This Row],[Marker Name / Summenformel]],GHS_Table[#All],6,FALSE)</f>
        <v>n.a.</v>
      </c>
      <c r="P53" s="38" t="str">
        <f>VLOOKUP(Table3[[#This Row],[Marker Name / Summenformel]],PhysChem_Table[],3,FALSE)</f>
        <v>n.a.</v>
      </c>
      <c r="Q53" s="38" t="str">
        <f>VLOOKUP(Table3[[#This Row],[Marker Name / Summenformel]],PhysChem_Table[],4,FALSE)</f>
        <v>n.a.</v>
      </c>
      <c r="R53" s="38" t="str">
        <f>VLOOKUP(Table3[[#This Row],[Marker Name / Summenformel]],PhysChem_Table[],5,FALSE)</f>
        <v>n.a.</v>
      </c>
      <c r="S53" s="38" t="str">
        <f>VLOOKUP(Table3[[#This Row],[Marker Name / Summenformel]],PhysChem_Table[],6,FALSE)</f>
        <v>n.a.</v>
      </c>
      <c r="T53" s="38" t="str">
        <f>VLOOKUP(Table3[[#This Row],[Marker Name / Summenformel]],PhysChem_Table[],7,FALSE)</f>
        <v>n.a.</v>
      </c>
      <c r="U53" s="38" t="str">
        <f>VLOOKUP(Table3[[#This Row],[Marker Name / Summenformel]],PhysChem_Table[],8,FALSE)</f>
        <v>n.a.</v>
      </c>
      <c r="V53" s="38" t="str">
        <f>VLOOKUP(Table3[[#This Row],[Marker Name / Summenformel]],PhysChem_Table[],9,FALSE)</f>
        <v>n.a.</v>
      </c>
      <c r="W53" s="38" t="str">
        <f>VLOOKUP(Table3[[#This Row],[Marker Name / Summenformel]],PhysChem_Table[],10,FALSE)</f>
        <v>n.a.</v>
      </c>
      <c r="X53" s="38" t="str">
        <f>VLOOKUP(Table3[[#This Row],[Marker Name / Summenformel]],PhysChem_Table[],11,FALSE)</f>
        <v>n.a.</v>
      </c>
      <c r="Y53" s="38" t="str">
        <f>VLOOKUP(Table3[[#This Row],[Marker Name / Summenformel]],PhysChem_Table[],12,FALSE)</f>
        <v>n.a.</v>
      </c>
      <c r="Z53" s="38" t="str">
        <f>VLOOKUP(Table3[[#This Row],[Marker Name / Summenformel]],PhysChem_Table[],13,FALSE)</f>
        <v>n.a.</v>
      </c>
      <c r="AA53" s="38" t="str">
        <f>VLOOKUP(Table3[[#This Row],[Marker Name / Summenformel]],PhysChem_Table[],14,FALSE)</f>
        <v>n.a.</v>
      </c>
      <c r="AB53" s="38" t="str">
        <f>VLOOKUP(Table3[[#This Row],[Marker Name / Summenformel]],PhysChem_Table[],15,FALSE)</f>
        <v>n.a.</v>
      </c>
      <c r="AC53" s="38" t="str">
        <f>VLOOKUP(Table3[[#This Row],[Marker Name / Summenformel]],PhysChem_Table[],16,FALSE)</f>
        <v>n.a.</v>
      </c>
      <c r="AD53" s="38" t="str">
        <f>VLOOKUP(Table3[[#This Row],[Marker Name / Summenformel]],PhysChem_Table[],17,FALSE)</f>
        <v>n.a.</v>
      </c>
      <c r="AE53" s="38" t="str">
        <f>VLOOKUP(Table3[[#This Row],[Marker Name / Summenformel]],PhysChem_Table[],18,FALSE)</f>
        <v>n.a.</v>
      </c>
      <c r="AF53" s="38" t="str">
        <f>VLOOKUP(Table3[[#This Row],[Marker Name / Summenformel]],PhysChem_Table[],19,FALSE)</f>
        <v>n.a.</v>
      </c>
      <c r="AG53" s="38" t="str">
        <f>VLOOKUP(Table3[[#This Row],[Marker Name / Summenformel]],PhysChem_Table[],20,FALSE)</f>
        <v>n.a.</v>
      </c>
      <c r="AH53" s="38" t="str">
        <f>VLOOKUP(Table3[[#This Row],[Marker Name / Summenformel]],PhysChem_Table[],21,FALSE)</f>
        <v>n.a.</v>
      </c>
      <c r="AI53" s="38" t="str">
        <f>VLOOKUP(Table3[[#This Row],[Marker Name / Summenformel]],PhysChem_Table[],22,FALSE)</f>
        <v>n.a.</v>
      </c>
      <c r="AJ53" s="38" t="str">
        <f>VLOOKUP(Table3[[#This Row],[Marker Name / Summenformel]],PhysChem_Table[],23,FALSE)</f>
        <v>n.a.</v>
      </c>
      <c r="AK53" s="38" t="str">
        <f>VLOOKUP(Table3[[#This Row],[Marker Name / Summenformel]],PhysChem_Table[],24,FALSE)</f>
        <v>n.a.</v>
      </c>
      <c r="AL53" s="38" t="str">
        <f>VLOOKUP(Table3[[#This Row],[Marker Name / Summenformel]],PhysChem_Table[],25,FALSE)</f>
        <v>n.a.</v>
      </c>
      <c r="AM53" s="38" t="str">
        <f>VLOOKUP(Table3[[#This Row],[Marker Name / Summenformel]],PhysChem_Table[],26,FALSE)</f>
        <v>n.a.</v>
      </c>
      <c r="AN53" s="38" t="str">
        <f>VLOOKUP(Table3[[#This Row],[Marker Name / Summenformel]],PhysChem_Table[],27,FALSE)</f>
        <v>n.a.</v>
      </c>
      <c r="AO53" s="38" t="str">
        <f>VLOOKUP(Table3[[#This Row],[Marker Name / Summenformel]],PhysChem_Table[],28,FALSE)</f>
        <v>n.a.</v>
      </c>
      <c r="AP53" s="38" t="str">
        <f>VLOOKUP(Table3[[#This Row],[Marker Name / Summenformel]],PhysChem_Table[],29,FALSE)</f>
        <v>n.a.</v>
      </c>
      <c r="AQ53" s="38" t="str">
        <f>VLOOKUP(Table3[[#This Row],[Marker Name / Summenformel]],PhysChem_Table[],30,FALSE)</f>
        <v>n.a.</v>
      </c>
      <c r="AR53" s="38" t="str">
        <f>VLOOKUP(Table3[[#This Row],[Marker Name / Summenformel]],PhysChem_Table[],31,FALSE)</f>
        <v>n.a.</v>
      </c>
      <c r="AS53" s="38" t="str">
        <f>VLOOKUP(Table3[[#This Row],[Marker Name / Summenformel]],PhysChem_Table[],32,FALSE)</f>
        <v>n.a.</v>
      </c>
      <c r="AT53" s="38" t="str">
        <f>VLOOKUP(Table3[[#This Row],[Marker Name / Summenformel]],PhysChem_Table[],33,FALSE)</f>
        <v>n.a.</v>
      </c>
      <c r="AU53" s="38" t="str">
        <f>VLOOKUP(Table3[[#This Row],[Marker Name / Summenformel]],PhysChem_Table[],34,FALSE)</f>
        <v>n.a.</v>
      </c>
      <c r="AV53" s="10">
        <f>VLOOKUP(Table3[[#This Row],[Marker Name / Summenformel]],PhysChem_Table[],35,FALSE)</f>
        <v>0</v>
      </c>
    </row>
    <row r="54" spans="1:48" x14ac:dyDescent="0.3">
      <c r="A54" s="10" t="s">
        <v>443</v>
      </c>
      <c r="B54" s="38" t="str">
        <f>VLOOKUP(Table3[[#This Row],[Marker Name / Summenformel]],BaseInfos_Table[],2,FALSE)</f>
        <v>modified acridone</v>
      </c>
      <c r="C54" s="38" t="str">
        <f>VLOOKUP(Table3[[#This Row],[Marker Name / Summenformel]],BaseInfos_Table[],3,FALSE)</f>
        <v>n.a.</v>
      </c>
      <c r="D54" s="38" t="str">
        <f>VLOOKUP(Table3[[#This Row],[Marker Name / Summenformel]],BaseInfos_Table[],4,FALSE)</f>
        <v>n.a.</v>
      </c>
      <c r="E54" s="38" t="str">
        <f>VLOOKUP(Table3[[#This Row],[Marker Name / Summenformel]],BaseInfos_Table[],5,FALSE)</f>
        <v>Smith et al., 2004 / Journal of Fluorescence</v>
      </c>
      <c r="F54" s="38" t="str">
        <f>VLOOKUP(Table3[[#This Row],[Marker Name / Summenformel]],BaseInfos_Table[],6,FALSE)</f>
        <v>UV-Vis</v>
      </c>
      <c r="G54" s="38" t="str">
        <f>VLOOKUP(Table3[[#This Row],[Marker Name / Summenformel]],BaseInfos_Table[],7,FALSE)</f>
        <v>N</v>
      </c>
      <c r="H54" s="38" t="str">
        <f>VLOOKUP(Table3[[#This Row],[Marker Name / Summenformel]],BaseInfos_Table[],8,FALSE)</f>
        <v>n.a.</v>
      </c>
      <c r="I54" s="38" t="str">
        <f>VLOOKUP(Table3[[#This Row],[Marker Name / Summenformel]],BaseInfos_Table[],9,FALSE)</f>
        <v>n.a.</v>
      </c>
      <c r="J54" s="38" t="str">
        <f>VLOOKUP(Table3[[#This Row],[Marker Name / Summenformel]],BaseInfos_Table[],10,FALSE)</f>
        <v>n.a.</v>
      </c>
      <c r="K54" s="38">
        <f>VLOOKUP(Table3[[#This Row],[Marker Name / Summenformel]],BaseInfos_Table[],11,FALSE)</f>
        <v>0</v>
      </c>
      <c r="L54" s="10" t="str">
        <f>VLOOKUP(Table3[[#This Row],[Marker Name / Summenformel]],GHS_Table[#All],3,FALSE)</f>
        <v>n.a.</v>
      </c>
      <c r="M54" s="10" t="str">
        <f>VLOOKUP(Table3[[#This Row],[Marker Name / Summenformel]],GHS_Table[#All],4,FALSE)</f>
        <v>n.a.</v>
      </c>
      <c r="N54" s="10" t="str">
        <f>VLOOKUP(Table3[[#This Row],[Marker Name / Summenformel]],GHS_Table[#All],5,FALSE)</f>
        <v>n.a.</v>
      </c>
      <c r="O54" s="10" t="str">
        <f>VLOOKUP(Table3[[#This Row],[Marker Name / Summenformel]],GHS_Table[#All],6,FALSE)</f>
        <v>n.a.</v>
      </c>
      <c r="P54" s="38" t="str">
        <f>VLOOKUP(Table3[[#This Row],[Marker Name / Summenformel]],PhysChem_Table[],3,FALSE)</f>
        <v>n.a.</v>
      </c>
      <c r="Q54" s="38" t="str">
        <f>VLOOKUP(Table3[[#This Row],[Marker Name / Summenformel]],PhysChem_Table[],4,FALSE)</f>
        <v>n.a.</v>
      </c>
      <c r="R54" s="38" t="str">
        <f>VLOOKUP(Table3[[#This Row],[Marker Name / Summenformel]],PhysChem_Table[],5,FALSE)</f>
        <v>n.a.</v>
      </c>
      <c r="S54" s="38" t="str">
        <f>VLOOKUP(Table3[[#This Row],[Marker Name / Summenformel]],PhysChem_Table[],6,FALSE)</f>
        <v>n.a.</v>
      </c>
      <c r="T54" s="38" t="str">
        <f>VLOOKUP(Table3[[#This Row],[Marker Name / Summenformel]],PhysChem_Table[],7,FALSE)</f>
        <v>n.a.</v>
      </c>
      <c r="U54" s="38" t="str">
        <f>VLOOKUP(Table3[[#This Row],[Marker Name / Summenformel]],PhysChem_Table[],8,FALSE)</f>
        <v>n.a.</v>
      </c>
      <c r="V54" s="38" t="str">
        <f>VLOOKUP(Table3[[#This Row],[Marker Name / Summenformel]],PhysChem_Table[],9,FALSE)</f>
        <v>n.a.</v>
      </c>
      <c r="W54" s="38" t="str">
        <f>VLOOKUP(Table3[[#This Row],[Marker Name / Summenformel]],PhysChem_Table[],10,FALSE)</f>
        <v>n.a.</v>
      </c>
      <c r="X54" s="38" t="str">
        <f>VLOOKUP(Table3[[#This Row],[Marker Name / Summenformel]],PhysChem_Table[],11,FALSE)</f>
        <v>n.a.</v>
      </c>
      <c r="Y54" s="38" t="str">
        <f>VLOOKUP(Table3[[#This Row],[Marker Name / Summenformel]],PhysChem_Table[],12,FALSE)</f>
        <v>n.a.</v>
      </c>
      <c r="Z54" s="38" t="str">
        <f>VLOOKUP(Table3[[#This Row],[Marker Name / Summenformel]],PhysChem_Table[],13,FALSE)</f>
        <v>n.a.</v>
      </c>
      <c r="AA54" s="38" t="str">
        <f>VLOOKUP(Table3[[#This Row],[Marker Name / Summenformel]],PhysChem_Table[],14,FALSE)</f>
        <v>n.a.</v>
      </c>
      <c r="AB54" s="38" t="str">
        <f>VLOOKUP(Table3[[#This Row],[Marker Name / Summenformel]],PhysChem_Table[],15,FALSE)</f>
        <v>n.a.</v>
      </c>
      <c r="AC54" s="38" t="str">
        <f>VLOOKUP(Table3[[#This Row],[Marker Name / Summenformel]],PhysChem_Table[],16,FALSE)</f>
        <v>n.a.</v>
      </c>
      <c r="AD54" s="38" t="str">
        <f>VLOOKUP(Table3[[#This Row],[Marker Name / Summenformel]],PhysChem_Table[],17,FALSE)</f>
        <v>n.a.</v>
      </c>
      <c r="AE54" s="38" t="str">
        <f>VLOOKUP(Table3[[#This Row],[Marker Name / Summenformel]],PhysChem_Table[],18,FALSE)</f>
        <v>n.a.</v>
      </c>
      <c r="AF54" s="38" t="str">
        <f>VLOOKUP(Table3[[#This Row],[Marker Name / Summenformel]],PhysChem_Table[],19,FALSE)</f>
        <v>n.a.</v>
      </c>
      <c r="AG54" s="38" t="str">
        <f>VLOOKUP(Table3[[#This Row],[Marker Name / Summenformel]],PhysChem_Table[],20,FALSE)</f>
        <v>n.a.</v>
      </c>
      <c r="AH54" s="38" t="str">
        <f>VLOOKUP(Table3[[#This Row],[Marker Name / Summenformel]],PhysChem_Table[],21,FALSE)</f>
        <v>n.a.</v>
      </c>
      <c r="AI54" s="38" t="str">
        <f>VLOOKUP(Table3[[#This Row],[Marker Name / Summenformel]],PhysChem_Table[],22,FALSE)</f>
        <v>n.a.</v>
      </c>
      <c r="AJ54" s="38" t="str">
        <f>VLOOKUP(Table3[[#This Row],[Marker Name / Summenformel]],PhysChem_Table[],23,FALSE)</f>
        <v>n.a.</v>
      </c>
      <c r="AK54" s="38" t="str">
        <f>VLOOKUP(Table3[[#This Row],[Marker Name / Summenformel]],PhysChem_Table[],24,FALSE)</f>
        <v>n.a.</v>
      </c>
      <c r="AL54" s="38" t="str">
        <f>VLOOKUP(Table3[[#This Row],[Marker Name / Summenformel]],PhysChem_Table[],25,FALSE)</f>
        <v>n.a.</v>
      </c>
      <c r="AM54" s="38" t="str">
        <f>VLOOKUP(Table3[[#This Row],[Marker Name / Summenformel]],PhysChem_Table[],26,FALSE)</f>
        <v>n.a.</v>
      </c>
      <c r="AN54" s="38" t="str">
        <f>VLOOKUP(Table3[[#This Row],[Marker Name / Summenformel]],PhysChem_Table[],27,FALSE)</f>
        <v>n.a.</v>
      </c>
      <c r="AO54" s="38" t="str">
        <f>VLOOKUP(Table3[[#This Row],[Marker Name / Summenformel]],PhysChem_Table[],28,FALSE)</f>
        <v>n.a.</v>
      </c>
      <c r="AP54" s="38" t="str">
        <f>VLOOKUP(Table3[[#This Row],[Marker Name / Summenformel]],PhysChem_Table[],29,FALSE)</f>
        <v>n.a.</v>
      </c>
      <c r="AQ54" s="38" t="str">
        <f>VLOOKUP(Table3[[#This Row],[Marker Name / Summenformel]],PhysChem_Table[],30,FALSE)</f>
        <v>n.a.</v>
      </c>
      <c r="AR54" s="38" t="str">
        <f>VLOOKUP(Table3[[#This Row],[Marker Name / Summenformel]],PhysChem_Table[],31,FALSE)</f>
        <v>n.a.</v>
      </c>
      <c r="AS54" s="38" t="str">
        <f>VLOOKUP(Table3[[#This Row],[Marker Name / Summenformel]],PhysChem_Table[],32,FALSE)</f>
        <v>n.a.</v>
      </c>
      <c r="AT54" s="38" t="str">
        <f>VLOOKUP(Table3[[#This Row],[Marker Name / Summenformel]],PhysChem_Table[],33,FALSE)</f>
        <v>n.a.</v>
      </c>
      <c r="AU54" s="38" t="str">
        <f>VLOOKUP(Table3[[#This Row],[Marker Name / Summenformel]],PhysChem_Table[],34,FALSE)</f>
        <v>n.a.</v>
      </c>
      <c r="AV54" s="10">
        <f>VLOOKUP(Table3[[#This Row],[Marker Name / Summenformel]],PhysChem_Table[],35,FALSE)</f>
        <v>0</v>
      </c>
    </row>
    <row r="55" spans="1:48" x14ac:dyDescent="0.3">
      <c r="A55" s="10" t="s">
        <v>444</v>
      </c>
      <c r="B55" s="38" t="str">
        <f>VLOOKUP(Table3[[#This Row],[Marker Name / Summenformel]],BaseInfos_Table[],2,FALSE)</f>
        <v>modified acridone</v>
      </c>
      <c r="C55" s="38" t="str">
        <f>VLOOKUP(Table3[[#This Row],[Marker Name / Summenformel]],BaseInfos_Table[],3,FALSE)</f>
        <v>n.a.</v>
      </c>
      <c r="D55" s="38" t="str">
        <f>VLOOKUP(Table3[[#This Row],[Marker Name / Summenformel]],BaseInfos_Table[],4,FALSE)</f>
        <v>n.a.</v>
      </c>
      <c r="E55" s="38" t="str">
        <f>VLOOKUP(Table3[[#This Row],[Marker Name / Summenformel]],BaseInfos_Table[],5,FALSE)</f>
        <v>Smith et al., 2004 / Journal of Fluorescence</v>
      </c>
      <c r="F55" s="38" t="str">
        <f>VLOOKUP(Table3[[#This Row],[Marker Name / Summenformel]],BaseInfos_Table[],6,FALSE)</f>
        <v>UV-Vis</v>
      </c>
      <c r="G55" s="38" t="str">
        <f>VLOOKUP(Table3[[#This Row],[Marker Name / Summenformel]],BaseInfos_Table[],7,FALSE)</f>
        <v>N</v>
      </c>
      <c r="H55" s="38" t="str">
        <f>VLOOKUP(Table3[[#This Row],[Marker Name / Summenformel]],BaseInfos_Table[],8,FALSE)</f>
        <v>n.a.</v>
      </c>
      <c r="I55" s="38" t="str">
        <f>VLOOKUP(Table3[[#This Row],[Marker Name / Summenformel]],BaseInfos_Table[],9,FALSE)</f>
        <v>n.a.</v>
      </c>
      <c r="J55" s="38" t="str">
        <f>VLOOKUP(Table3[[#This Row],[Marker Name / Summenformel]],BaseInfos_Table[],10,FALSE)</f>
        <v>n.a.</v>
      </c>
      <c r="K55" s="38">
        <f>VLOOKUP(Table3[[#This Row],[Marker Name / Summenformel]],BaseInfos_Table[],11,FALSE)</f>
        <v>0</v>
      </c>
      <c r="L55" s="10" t="str">
        <f>VLOOKUP(Table3[[#This Row],[Marker Name / Summenformel]],GHS_Table[#All],3,FALSE)</f>
        <v>n.a.</v>
      </c>
      <c r="M55" s="10" t="str">
        <f>VLOOKUP(Table3[[#This Row],[Marker Name / Summenformel]],GHS_Table[#All],4,FALSE)</f>
        <v>n.a.</v>
      </c>
      <c r="N55" s="10" t="str">
        <f>VLOOKUP(Table3[[#This Row],[Marker Name / Summenformel]],GHS_Table[#All],5,FALSE)</f>
        <v>n.a.</v>
      </c>
      <c r="O55" s="10" t="str">
        <f>VLOOKUP(Table3[[#This Row],[Marker Name / Summenformel]],GHS_Table[#All],6,FALSE)</f>
        <v>n.a.</v>
      </c>
      <c r="P55" s="38" t="str">
        <f>VLOOKUP(Table3[[#This Row],[Marker Name / Summenformel]],PhysChem_Table[],3,FALSE)</f>
        <v>n.a.</v>
      </c>
      <c r="Q55" s="38" t="str">
        <f>VLOOKUP(Table3[[#This Row],[Marker Name / Summenformel]],PhysChem_Table[],4,FALSE)</f>
        <v>n.a.</v>
      </c>
      <c r="R55" s="38" t="str">
        <f>VLOOKUP(Table3[[#This Row],[Marker Name / Summenformel]],PhysChem_Table[],5,FALSE)</f>
        <v>n.a.</v>
      </c>
      <c r="S55" s="38" t="str">
        <f>VLOOKUP(Table3[[#This Row],[Marker Name / Summenformel]],PhysChem_Table[],6,FALSE)</f>
        <v>n.a.</v>
      </c>
      <c r="T55" s="38" t="str">
        <f>VLOOKUP(Table3[[#This Row],[Marker Name / Summenformel]],PhysChem_Table[],7,FALSE)</f>
        <v>n.a.</v>
      </c>
      <c r="U55" s="38" t="str">
        <f>VLOOKUP(Table3[[#This Row],[Marker Name / Summenformel]],PhysChem_Table[],8,FALSE)</f>
        <v>n.a.</v>
      </c>
      <c r="V55" s="38" t="str">
        <f>VLOOKUP(Table3[[#This Row],[Marker Name / Summenformel]],PhysChem_Table[],9,FALSE)</f>
        <v>n.a.</v>
      </c>
      <c r="W55" s="38" t="str">
        <f>VLOOKUP(Table3[[#This Row],[Marker Name / Summenformel]],PhysChem_Table[],10,FALSE)</f>
        <v>n.a.</v>
      </c>
      <c r="X55" s="38" t="str">
        <f>VLOOKUP(Table3[[#This Row],[Marker Name / Summenformel]],PhysChem_Table[],11,FALSE)</f>
        <v>n.a.</v>
      </c>
      <c r="Y55" s="38" t="str">
        <f>VLOOKUP(Table3[[#This Row],[Marker Name / Summenformel]],PhysChem_Table[],12,FALSE)</f>
        <v>n.a.</v>
      </c>
      <c r="Z55" s="38" t="str">
        <f>VLOOKUP(Table3[[#This Row],[Marker Name / Summenformel]],PhysChem_Table[],13,FALSE)</f>
        <v>n.a.</v>
      </c>
      <c r="AA55" s="38" t="str">
        <f>VLOOKUP(Table3[[#This Row],[Marker Name / Summenformel]],PhysChem_Table[],14,FALSE)</f>
        <v>n.a.</v>
      </c>
      <c r="AB55" s="38" t="str">
        <f>VLOOKUP(Table3[[#This Row],[Marker Name / Summenformel]],PhysChem_Table[],15,FALSE)</f>
        <v>n.a.</v>
      </c>
      <c r="AC55" s="38" t="str">
        <f>VLOOKUP(Table3[[#This Row],[Marker Name / Summenformel]],PhysChem_Table[],16,FALSE)</f>
        <v>n.a.</v>
      </c>
      <c r="AD55" s="38" t="str">
        <f>VLOOKUP(Table3[[#This Row],[Marker Name / Summenformel]],PhysChem_Table[],17,FALSE)</f>
        <v>n.a.</v>
      </c>
      <c r="AE55" s="38" t="str">
        <f>VLOOKUP(Table3[[#This Row],[Marker Name / Summenformel]],PhysChem_Table[],18,FALSE)</f>
        <v>n.a.</v>
      </c>
      <c r="AF55" s="38" t="str">
        <f>VLOOKUP(Table3[[#This Row],[Marker Name / Summenformel]],PhysChem_Table[],19,FALSE)</f>
        <v>n.a.</v>
      </c>
      <c r="AG55" s="38" t="str">
        <f>VLOOKUP(Table3[[#This Row],[Marker Name / Summenformel]],PhysChem_Table[],20,FALSE)</f>
        <v>n.a.</v>
      </c>
      <c r="AH55" s="38" t="str">
        <f>VLOOKUP(Table3[[#This Row],[Marker Name / Summenformel]],PhysChem_Table[],21,FALSE)</f>
        <v>n.a.</v>
      </c>
      <c r="AI55" s="38" t="str">
        <f>VLOOKUP(Table3[[#This Row],[Marker Name / Summenformel]],PhysChem_Table[],22,FALSE)</f>
        <v>n.a.</v>
      </c>
      <c r="AJ55" s="38" t="str">
        <f>VLOOKUP(Table3[[#This Row],[Marker Name / Summenformel]],PhysChem_Table[],23,FALSE)</f>
        <v>n.a.</v>
      </c>
      <c r="AK55" s="38" t="str">
        <f>VLOOKUP(Table3[[#This Row],[Marker Name / Summenformel]],PhysChem_Table[],24,FALSE)</f>
        <v>n.a.</v>
      </c>
      <c r="AL55" s="38" t="str">
        <f>VLOOKUP(Table3[[#This Row],[Marker Name / Summenformel]],PhysChem_Table[],25,FALSE)</f>
        <v>n.a.</v>
      </c>
      <c r="AM55" s="38" t="str">
        <f>VLOOKUP(Table3[[#This Row],[Marker Name / Summenformel]],PhysChem_Table[],26,FALSE)</f>
        <v>n.a.</v>
      </c>
      <c r="AN55" s="38" t="str">
        <f>VLOOKUP(Table3[[#This Row],[Marker Name / Summenformel]],PhysChem_Table[],27,FALSE)</f>
        <v>n.a.</v>
      </c>
      <c r="AO55" s="38" t="str">
        <f>VLOOKUP(Table3[[#This Row],[Marker Name / Summenformel]],PhysChem_Table[],28,FALSE)</f>
        <v>n.a.</v>
      </c>
      <c r="AP55" s="38" t="str">
        <f>VLOOKUP(Table3[[#This Row],[Marker Name / Summenformel]],PhysChem_Table[],29,FALSE)</f>
        <v>n.a.</v>
      </c>
      <c r="AQ55" s="38" t="str">
        <f>VLOOKUP(Table3[[#This Row],[Marker Name / Summenformel]],PhysChem_Table[],30,FALSE)</f>
        <v>n.a.</v>
      </c>
      <c r="AR55" s="38" t="str">
        <f>VLOOKUP(Table3[[#This Row],[Marker Name / Summenformel]],PhysChem_Table[],31,FALSE)</f>
        <v>n.a.</v>
      </c>
      <c r="AS55" s="38" t="str">
        <f>VLOOKUP(Table3[[#This Row],[Marker Name / Summenformel]],PhysChem_Table[],32,FALSE)</f>
        <v>n.a.</v>
      </c>
      <c r="AT55" s="38" t="str">
        <f>VLOOKUP(Table3[[#This Row],[Marker Name / Summenformel]],PhysChem_Table[],33,FALSE)</f>
        <v>n.a.</v>
      </c>
      <c r="AU55" s="38" t="str">
        <f>VLOOKUP(Table3[[#This Row],[Marker Name / Summenformel]],PhysChem_Table[],34,FALSE)</f>
        <v>n.a.</v>
      </c>
      <c r="AV55" s="10">
        <f>VLOOKUP(Table3[[#This Row],[Marker Name / Summenformel]],PhysChem_Table[],35,FALSE)</f>
        <v>0</v>
      </c>
    </row>
    <row r="56" spans="1:48" x14ac:dyDescent="0.3">
      <c r="A56" s="10" t="s">
        <v>445</v>
      </c>
      <c r="B56" s="38" t="str">
        <f>VLOOKUP(Table3[[#This Row],[Marker Name / Summenformel]],BaseInfos_Table[],2,FALSE)</f>
        <v>modified acridone</v>
      </c>
      <c r="C56" s="38" t="str">
        <f>VLOOKUP(Table3[[#This Row],[Marker Name / Summenformel]],BaseInfos_Table[],3,FALSE)</f>
        <v>24782-64-7</v>
      </c>
      <c r="D56" s="38" t="str">
        <f>VLOOKUP(Table3[[#This Row],[Marker Name / Summenformel]],BaseInfos_Table[],4,FALSE)</f>
        <v>622-408-3</v>
      </c>
      <c r="E56" s="38" t="str">
        <f>VLOOKUP(Table3[[#This Row],[Marker Name / Summenformel]],BaseInfos_Table[],5,FALSE)</f>
        <v>Smith et al., 2004 / Journal of Fluorescence</v>
      </c>
      <c r="F56" s="38" t="str">
        <f>VLOOKUP(Table3[[#This Row],[Marker Name / Summenformel]],BaseInfos_Table[],6,FALSE)</f>
        <v>UV-Vis</v>
      </c>
      <c r="G56" s="38" t="str">
        <f>VLOOKUP(Table3[[#This Row],[Marker Name / Summenformel]],BaseInfos_Table[],7,FALSE)</f>
        <v>Y</v>
      </c>
      <c r="H56" s="38" t="str">
        <f>VLOOKUP(Table3[[#This Row],[Marker Name / Summenformel]],BaseInfos_Table[],8,FALSE)</f>
        <v>n.a.</v>
      </c>
      <c r="I56" s="38" t="str">
        <f>VLOOKUP(Table3[[#This Row],[Marker Name / Summenformel]],BaseInfos_Table[],9,FALSE)</f>
        <v>https://echa.europa.eu/de/substance-information/-/substanceinfo/100.151.173</v>
      </c>
      <c r="J56" s="38" t="str">
        <f>VLOOKUP(Table3[[#This Row],[Marker Name / Summenformel]],BaseInfos_Table[],10,FALSE)</f>
        <v>https://www.sigmaaldrich.com/AT/de/product/astatechinc/ateh95e592bd?context=bbe</v>
      </c>
      <c r="K56" s="38">
        <f>VLOOKUP(Table3[[#This Row],[Marker Name / Summenformel]],BaseInfos_Table[],11,FALSE)</f>
        <v>0</v>
      </c>
      <c r="L56" s="10" t="str">
        <f>VLOOKUP(Table3[[#This Row],[Marker Name / Summenformel]],GHS_Table[#All],3,FALSE)</f>
        <v>CLP</v>
      </c>
      <c r="M56" s="10" t="str">
        <f>VLOOKUP(Table3[[#This Row],[Marker Name / Summenformel]],GHS_Table[#All],4,FALSE)</f>
        <v>n.a.</v>
      </c>
      <c r="N56" s="10">
        <f>VLOOKUP(Table3[[#This Row],[Marker Name / Summenformel]],GHS_Table[#All],5,FALSE)</f>
        <v>3</v>
      </c>
      <c r="O56" s="10">
        <f>VLOOKUP(Table3[[#This Row],[Marker Name / Summenformel]],GHS_Table[#All],6,FALSE)</f>
        <v>4</v>
      </c>
      <c r="P56" s="38" t="str">
        <f>VLOOKUP(Table3[[#This Row],[Marker Name / Summenformel]],PhysChem_Table[],3,FALSE)</f>
        <v>solid:</v>
      </c>
      <c r="Q56" s="38" t="str">
        <f>VLOOKUP(Table3[[#This Row],[Marker Name / Summenformel]],PhysChem_Table[],4,FALSE)</f>
        <v>n.a.</v>
      </c>
      <c r="R56" s="38" t="str">
        <f>VLOOKUP(Table3[[#This Row],[Marker Name / Summenformel]],PhysChem_Table[],5,FALSE)</f>
        <v>n.a.</v>
      </c>
      <c r="S56" s="38" t="str">
        <f>VLOOKUP(Table3[[#This Row],[Marker Name / Summenformel]],PhysChem_Table[],6,FALSE)</f>
        <v>n.a.</v>
      </c>
      <c r="T56" s="38">
        <f>VLOOKUP(Table3[[#This Row],[Marker Name / Summenformel]],PhysChem_Table[],7,FALSE)</f>
        <v>469</v>
      </c>
      <c r="U56" s="38">
        <f>VLOOKUP(Table3[[#This Row],[Marker Name / Summenformel]],PhysChem_Table[],8,FALSE)</f>
        <v>101.325</v>
      </c>
      <c r="V56" s="38">
        <f>VLOOKUP(Table3[[#This Row],[Marker Name / Summenformel]],PhysChem_Table[],9,FALSE)</f>
        <v>1.4</v>
      </c>
      <c r="W56" s="38" t="str">
        <f>VLOOKUP(Table3[[#This Row],[Marker Name / Summenformel]],PhysChem_Table[],10,FALSE)</f>
        <v>n.s.</v>
      </c>
      <c r="X56" s="38" t="str">
        <f>VLOOKUP(Table3[[#This Row],[Marker Name / Summenformel]],PhysChem_Table[],11,FALSE)</f>
        <v>n.a.</v>
      </c>
      <c r="Y56" s="38" t="str">
        <f>VLOOKUP(Table3[[#This Row],[Marker Name / Summenformel]],PhysChem_Table[],12,FALSE)</f>
        <v>n.a.</v>
      </c>
      <c r="Z56" s="38" t="str">
        <f>VLOOKUP(Table3[[#This Row],[Marker Name / Summenformel]],PhysChem_Table[],13,FALSE)</f>
        <v>n.a.</v>
      </c>
      <c r="AA56" s="38">
        <f>VLOOKUP(Table3[[#This Row],[Marker Name / Summenformel]],PhysChem_Table[],14,FALSE)</f>
        <v>1.6</v>
      </c>
      <c r="AB56" s="38" t="str">
        <f>VLOOKUP(Table3[[#This Row],[Marker Name / Summenformel]],PhysChem_Table[],15,FALSE)</f>
        <v>n.s.</v>
      </c>
      <c r="AC56" s="38" t="str">
        <f>VLOOKUP(Table3[[#This Row],[Marker Name / Summenformel]],PhysChem_Table[],16,FALSE)</f>
        <v>n.a.</v>
      </c>
      <c r="AD56" s="38" t="str">
        <f>VLOOKUP(Table3[[#This Row],[Marker Name / Summenformel]],PhysChem_Table[],17,FALSE)</f>
        <v>n.a.</v>
      </c>
      <c r="AE56" s="38" t="str">
        <f>VLOOKUP(Table3[[#This Row],[Marker Name / Summenformel]],PhysChem_Table[],18,FALSE)</f>
        <v>n.a.</v>
      </c>
      <c r="AF56" s="38" t="str">
        <f>VLOOKUP(Table3[[#This Row],[Marker Name / Summenformel]],PhysChem_Table[],19,FALSE)</f>
        <v>n.a.</v>
      </c>
      <c r="AG56" s="38" t="str">
        <f>VLOOKUP(Table3[[#This Row],[Marker Name / Summenformel]],PhysChem_Table[],20,FALSE)</f>
        <v>n.a.</v>
      </c>
      <c r="AH56" s="38">
        <f>VLOOKUP(Table3[[#This Row],[Marker Name / Summenformel]],PhysChem_Table[],21,FALSE)</f>
        <v>6.0999999999999999E-2</v>
      </c>
      <c r="AI56" s="38">
        <f>VLOOKUP(Table3[[#This Row],[Marker Name / Summenformel]],PhysChem_Table[],22,FALSE)</f>
        <v>238</v>
      </c>
      <c r="AJ56" s="38" t="str">
        <f>VLOOKUP(Table3[[#This Row],[Marker Name / Summenformel]],PhysChem_Table[],23,FALSE)</f>
        <v>n.s.</v>
      </c>
      <c r="AK56" s="38" t="str">
        <f>VLOOKUP(Table3[[#This Row],[Marker Name / Summenformel]],PhysChem_Table[],24,FALSE)</f>
        <v>n.a.</v>
      </c>
      <c r="AL56" s="38" t="str">
        <f>VLOOKUP(Table3[[#This Row],[Marker Name / Summenformel]],PhysChem_Table[],25,FALSE)</f>
        <v>n.a.</v>
      </c>
      <c r="AM56" s="38" t="str">
        <f>VLOOKUP(Table3[[#This Row],[Marker Name / Summenformel]],PhysChem_Table[],26,FALSE)</f>
        <v>n.a.</v>
      </c>
      <c r="AN56" s="38" t="str">
        <f>VLOOKUP(Table3[[#This Row],[Marker Name / Summenformel]],PhysChem_Table[],27,FALSE)</f>
        <v>n.a.</v>
      </c>
      <c r="AO56" s="38" t="str">
        <f>VLOOKUP(Table3[[#This Row],[Marker Name / Summenformel]],PhysChem_Table[],28,FALSE)</f>
        <v>n.a.</v>
      </c>
      <c r="AP56" s="38" t="str">
        <f>VLOOKUP(Table3[[#This Row],[Marker Name / Summenformel]],PhysChem_Table[],29,FALSE)</f>
        <v>n.a.</v>
      </c>
      <c r="AQ56" s="38" t="str">
        <f>VLOOKUP(Table3[[#This Row],[Marker Name / Summenformel]],PhysChem_Table[],30,FALSE)</f>
        <v>n.a.</v>
      </c>
      <c r="AR56" s="38" t="str">
        <f>VLOOKUP(Table3[[#This Row],[Marker Name / Summenformel]],PhysChem_Table[],31,FALSE)</f>
        <v>n.a.</v>
      </c>
      <c r="AS56" s="38" t="str">
        <f>VLOOKUP(Table3[[#This Row],[Marker Name / Summenformel]],PhysChem_Table[],32,FALSE)</f>
        <v>n.a.</v>
      </c>
      <c r="AT56" s="38" t="str">
        <f>VLOOKUP(Table3[[#This Row],[Marker Name / Summenformel]],PhysChem_Table[],33,FALSE)</f>
        <v>n.a.</v>
      </c>
      <c r="AU56" s="38" t="str">
        <f>VLOOKUP(Table3[[#This Row],[Marker Name / Summenformel]],PhysChem_Table[],34,FALSE)</f>
        <v>http://www.chemspider.com/Chemical-Structure.2798341.html?rid=6185e3f3-61cb-4f24-b20f-7734ab492548</v>
      </c>
      <c r="AV56" s="10">
        <f>VLOOKUP(Table3[[#This Row],[Marker Name / Summenformel]],PhysChem_Table[],35,FALSE)</f>
        <v>0</v>
      </c>
    </row>
    <row r="57" spans="1:48" x14ac:dyDescent="0.3">
      <c r="A57" s="10" t="s">
        <v>446</v>
      </c>
      <c r="B57" s="38" t="str">
        <f>VLOOKUP(Table3[[#This Row],[Marker Name / Summenformel]],BaseInfos_Table[],2,FALSE)</f>
        <v>modified acridone</v>
      </c>
      <c r="C57" s="38" t="str">
        <f>VLOOKUP(Table3[[#This Row],[Marker Name / Summenformel]],BaseInfos_Table[],3,FALSE)</f>
        <v>n.a.</v>
      </c>
      <c r="D57" s="38" t="str">
        <f>VLOOKUP(Table3[[#This Row],[Marker Name / Summenformel]],BaseInfos_Table[],4,FALSE)</f>
        <v>n.a.</v>
      </c>
      <c r="E57" s="38" t="str">
        <f>VLOOKUP(Table3[[#This Row],[Marker Name / Summenformel]],BaseInfos_Table[],5,FALSE)</f>
        <v>Smith et al., 2004 / Journal of Fluorescence</v>
      </c>
      <c r="F57" s="38" t="str">
        <f>VLOOKUP(Table3[[#This Row],[Marker Name / Summenformel]],BaseInfos_Table[],6,FALSE)</f>
        <v>UV-Vis</v>
      </c>
      <c r="G57" s="38" t="str">
        <f>VLOOKUP(Table3[[#This Row],[Marker Name / Summenformel]],BaseInfos_Table[],7,FALSE)</f>
        <v>N</v>
      </c>
      <c r="H57" s="38" t="str">
        <f>VLOOKUP(Table3[[#This Row],[Marker Name / Summenformel]],BaseInfos_Table[],8,FALSE)</f>
        <v>n.a.</v>
      </c>
      <c r="I57" s="38" t="str">
        <f>VLOOKUP(Table3[[#This Row],[Marker Name / Summenformel]],BaseInfos_Table[],9,FALSE)</f>
        <v>n.a.</v>
      </c>
      <c r="J57" s="38" t="str">
        <f>VLOOKUP(Table3[[#This Row],[Marker Name / Summenformel]],BaseInfos_Table[],10,FALSE)</f>
        <v>n.a.</v>
      </c>
      <c r="K57" s="38">
        <f>VLOOKUP(Table3[[#This Row],[Marker Name / Summenformel]],BaseInfos_Table[],11,FALSE)</f>
        <v>0</v>
      </c>
      <c r="L57" s="10" t="str">
        <f>VLOOKUP(Table3[[#This Row],[Marker Name / Summenformel]],GHS_Table[#All],3,FALSE)</f>
        <v>n.a.</v>
      </c>
      <c r="M57" s="10" t="str">
        <f>VLOOKUP(Table3[[#This Row],[Marker Name / Summenformel]],GHS_Table[#All],4,FALSE)</f>
        <v>n.a.</v>
      </c>
      <c r="N57" s="10" t="str">
        <f>VLOOKUP(Table3[[#This Row],[Marker Name / Summenformel]],GHS_Table[#All],5,FALSE)</f>
        <v>n.a.</v>
      </c>
      <c r="O57" s="10" t="str">
        <f>VLOOKUP(Table3[[#This Row],[Marker Name / Summenformel]],GHS_Table[#All],6,FALSE)</f>
        <v>n.a.</v>
      </c>
      <c r="P57" s="38" t="str">
        <f>VLOOKUP(Table3[[#This Row],[Marker Name / Summenformel]],PhysChem_Table[],3,FALSE)</f>
        <v>n.a.</v>
      </c>
      <c r="Q57" s="38" t="str">
        <f>VLOOKUP(Table3[[#This Row],[Marker Name / Summenformel]],PhysChem_Table[],4,FALSE)</f>
        <v>n.a.</v>
      </c>
      <c r="R57" s="38" t="str">
        <f>VLOOKUP(Table3[[#This Row],[Marker Name / Summenformel]],PhysChem_Table[],5,FALSE)</f>
        <v>n.a.</v>
      </c>
      <c r="S57" s="38" t="str">
        <f>VLOOKUP(Table3[[#This Row],[Marker Name / Summenformel]],PhysChem_Table[],6,FALSE)</f>
        <v>n.a.</v>
      </c>
      <c r="T57" s="38" t="str">
        <f>VLOOKUP(Table3[[#This Row],[Marker Name / Summenformel]],PhysChem_Table[],7,FALSE)</f>
        <v>n.a.</v>
      </c>
      <c r="U57" s="38" t="str">
        <f>VLOOKUP(Table3[[#This Row],[Marker Name / Summenformel]],PhysChem_Table[],8,FALSE)</f>
        <v>n.a.</v>
      </c>
      <c r="V57" s="38" t="str">
        <f>VLOOKUP(Table3[[#This Row],[Marker Name / Summenformel]],PhysChem_Table[],9,FALSE)</f>
        <v>n.a.</v>
      </c>
      <c r="W57" s="38" t="str">
        <f>VLOOKUP(Table3[[#This Row],[Marker Name / Summenformel]],PhysChem_Table[],10,FALSE)</f>
        <v>n.a.</v>
      </c>
      <c r="X57" s="38" t="str">
        <f>VLOOKUP(Table3[[#This Row],[Marker Name / Summenformel]],PhysChem_Table[],11,FALSE)</f>
        <v>n.a.</v>
      </c>
      <c r="Y57" s="38" t="str">
        <f>VLOOKUP(Table3[[#This Row],[Marker Name / Summenformel]],PhysChem_Table[],12,FALSE)</f>
        <v>n.a.</v>
      </c>
      <c r="Z57" s="38" t="str">
        <f>VLOOKUP(Table3[[#This Row],[Marker Name / Summenformel]],PhysChem_Table[],13,FALSE)</f>
        <v>n.a.</v>
      </c>
      <c r="AA57" s="38" t="str">
        <f>VLOOKUP(Table3[[#This Row],[Marker Name / Summenformel]],PhysChem_Table[],14,FALSE)</f>
        <v>n.a.</v>
      </c>
      <c r="AB57" s="38" t="str">
        <f>VLOOKUP(Table3[[#This Row],[Marker Name / Summenformel]],PhysChem_Table[],15,FALSE)</f>
        <v>n.a.</v>
      </c>
      <c r="AC57" s="38" t="str">
        <f>VLOOKUP(Table3[[#This Row],[Marker Name / Summenformel]],PhysChem_Table[],16,FALSE)</f>
        <v>n.a.</v>
      </c>
      <c r="AD57" s="38" t="str">
        <f>VLOOKUP(Table3[[#This Row],[Marker Name / Summenformel]],PhysChem_Table[],17,FALSE)</f>
        <v>n.a.</v>
      </c>
      <c r="AE57" s="38" t="str">
        <f>VLOOKUP(Table3[[#This Row],[Marker Name / Summenformel]],PhysChem_Table[],18,FALSE)</f>
        <v>n.a.</v>
      </c>
      <c r="AF57" s="38" t="str">
        <f>VLOOKUP(Table3[[#This Row],[Marker Name / Summenformel]],PhysChem_Table[],19,FALSE)</f>
        <v>n.a.</v>
      </c>
      <c r="AG57" s="38" t="str">
        <f>VLOOKUP(Table3[[#This Row],[Marker Name / Summenformel]],PhysChem_Table[],20,FALSE)</f>
        <v>n.a.</v>
      </c>
      <c r="AH57" s="38" t="str">
        <f>VLOOKUP(Table3[[#This Row],[Marker Name / Summenformel]],PhysChem_Table[],21,FALSE)</f>
        <v>n.a.</v>
      </c>
      <c r="AI57" s="38" t="str">
        <f>VLOOKUP(Table3[[#This Row],[Marker Name / Summenformel]],PhysChem_Table[],22,FALSE)</f>
        <v>n.a.</v>
      </c>
      <c r="AJ57" s="38" t="str">
        <f>VLOOKUP(Table3[[#This Row],[Marker Name / Summenformel]],PhysChem_Table[],23,FALSE)</f>
        <v>n.a.</v>
      </c>
      <c r="AK57" s="38" t="str">
        <f>VLOOKUP(Table3[[#This Row],[Marker Name / Summenformel]],PhysChem_Table[],24,FALSE)</f>
        <v>n.a.</v>
      </c>
      <c r="AL57" s="38" t="str">
        <f>VLOOKUP(Table3[[#This Row],[Marker Name / Summenformel]],PhysChem_Table[],25,FALSE)</f>
        <v>n.a.</v>
      </c>
      <c r="AM57" s="38" t="str">
        <f>VLOOKUP(Table3[[#This Row],[Marker Name / Summenformel]],PhysChem_Table[],26,FALSE)</f>
        <v>n.a.</v>
      </c>
      <c r="AN57" s="38" t="str">
        <f>VLOOKUP(Table3[[#This Row],[Marker Name / Summenformel]],PhysChem_Table[],27,FALSE)</f>
        <v>n.a.</v>
      </c>
      <c r="AO57" s="38" t="str">
        <f>VLOOKUP(Table3[[#This Row],[Marker Name / Summenformel]],PhysChem_Table[],28,FALSE)</f>
        <v>n.a.</v>
      </c>
      <c r="AP57" s="38" t="str">
        <f>VLOOKUP(Table3[[#This Row],[Marker Name / Summenformel]],PhysChem_Table[],29,FALSE)</f>
        <v>n.a.</v>
      </c>
      <c r="AQ57" s="38" t="str">
        <f>VLOOKUP(Table3[[#This Row],[Marker Name / Summenformel]],PhysChem_Table[],30,FALSE)</f>
        <v>n.a.</v>
      </c>
      <c r="AR57" s="38" t="str">
        <f>VLOOKUP(Table3[[#This Row],[Marker Name / Summenformel]],PhysChem_Table[],31,FALSE)</f>
        <v>n.a.</v>
      </c>
      <c r="AS57" s="38" t="str">
        <f>VLOOKUP(Table3[[#This Row],[Marker Name / Summenformel]],PhysChem_Table[],32,FALSE)</f>
        <v>n.a.</v>
      </c>
      <c r="AT57" s="38" t="str">
        <f>VLOOKUP(Table3[[#This Row],[Marker Name / Summenformel]],PhysChem_Table[],33,FALSE)</f>
        <v>n.a.</v>
      </c>
      <c r="AU57" s="38" t="str">
        <f>VLOOKUP(Table3[[#This Row],[Marker Name / Summenformel]],PhysChem_Table[],34,FALSE)</f>
        <v>n.a.</v>
      </c>
      <c r="AV57" s="10">
        <f>VLOOKUP(Table3[[#This Row],[Marker Name / Summenformel]],PhysChem_Table[],35,FALSE)</f>
        <v>0</v>
      </c>
    </row>
    <row r="58" spans="1:48" x14ac:dyDescent="0.3">
      <c r="A58" s="10" t="s">
        <v>447</v>
      </c>
      <c r="B58" s="38" t="str">
        <f>VLOOKUP(Table3[[#This Row],[Marker Name / Summenformel]],BaseInfos_Table[],2,FALSE)</f>
        <v>modified acridone</v>
      </c>
      <c r="C58" s="38" t="str">
        <f>VLOOKUP(Table3[[#This Row],[Marker Name / Summenformel]],BaseInfos_Table[],3,FALSE)</f>
        <v>n.a.</v>
      </c>
      <c r="D58" s="38" t="str">
        <f>VLOOKUP(Table3[[#This Row],[Marker Name / Summenformel]],BaseInfos_Table[],4,FALSE)</f>
        <v>n.a.</v>
      </c>
      <c r="E58" s="38" t="str">
        <f>VLOOKUP(Table3[[#This Row],[Marker Name / Summenformel]],BaseInfos_Table[],5,FALSE)</f>
        <v>Smith et al., 2004 / Journal of Fluorescence</v>
      </c>
      <c r="F58" s="38" t="str">
        <f>VLOOKUP(Table3[[#This Row],[Marker Name / Summenformel]],BaseInfos_Table[],6,FALSE)</f>
        <v>UV-Vis</v>
      </c>
      <c r="G58" s="38" t="str">
        <f>VLOOKUP(Table3[[#This Row],[Marker Name / Summenformel]],BaseInfos_Table[],7,FALSE)</f>
        <v>N</v>
      </c>
      <c r="H58" s="38" t="str">
        <f>VLOOKUP(Table3[[#This Row],[Marker Name / Summenformel]],BaseInfos_Table[],8,FALSE)</f>
        <v>n.a.</v>
      </c>
      <c r="I58" s="38" t="str">
        <f>VLOOKUP(Table3[[#This Row],[Marker Name / Summenformel]],BaseInfos_Table[],9,FALSE)</f>
        <v>n.a.</v>
      </c>
      <c r="J58" s="38" t="str">
        <f>VLOOKUP(Table3[[#This Row],[Marker Name / Summenformel]],BaseInfos_Table[],10,FALSE)</f>
        <v>n.a.</v>
      </c>
      <c r="K58" s="38">
        <f>VLOOKUP(Table3[[#This Row],[Marker Name / Summenformel]],BaseInfos_Table[],11,FALSE)</f>
        <v>0</v>
      </c>
      <c r="L58" s="10" t="str">
        <f>VLOOKUP(Table3[[#This Row],[Marker Name / Summenformel]],GHS_Table[#All],3,FALSE)</f>
        <v>n.a.</v>
      </c>
      <c r="M58" s="10" t="str">
        <f>VLOOKUP(Table3[[#This Row],[Marker Name / Summenformel]],GHS_Table[#All],4,FALSE)</f>
        <v>n.a.</v>
      </c>
      <c r="N58" s="10" t="str">
        <f>VLOOKUP(Table3[[#This Row],[Marker Name / Summenformel]],GHS_Table[#All],5,FALSE)</f>
        <v>n.a.</v>
      </c>
      <c r="O58" s="10" t="str">
        <f>VLOOKUP(Table3[[#This Row],[Marker Name / Summenformel]],GHS_Table[#All],6,FALSE)</f>
        <v>n.a.</v>
      </c>
      <c r="P58" s="38" t="str">
        <f>VLOOKUP(Table3[[#This Row],[Marker Name / Summenformel]],PhysChem_Table[],3,FALSE)</f>
        <v>n.a.</v>
      </c>
      <c r="Q58" s="38" t="str">
        <f>VLOOKUP(Table3[[#This Row],[Marker Name / Summenformel]],PhysChem_Table[],4,FALSE)</f>
        <v>n.a.</v>
      </c>
      <c r="R58" s="38" t="str">
        <f>VLOOKUP(Table3[[#This Row],[Marker Name / Summenformel]],PhysChem_Table[],5,FALSE)</f>
        <v>n.a.</v>
      </c>
      <c r="S58" s="38" t="str">
        <f>VLOOKUP(Table3[[#This Row],[Marker Name / Summenformel]],PhysChem_Table[],6,FALSE)</f>
        <v>n.a.</v>
      </c>
      <c r="T58" s="38" t="str">
        <f>VLOOKUP(Table3[[#This Row],[Marker Name / Summenformel]],PhysChem_Table[],7,FALSE)</f>
        <v>n.a.</v>
      </c>
      <c r="U58" s="38" t="str">
        <f>VLOOKUP(Table3[[#This Row],[Marker Name / Summenformel]],PhysChem_Table[],8,FALSE)</f>
        <v>n.a.</v>
      </c>
      <c r="V58" s="38" t="str">
        <f>VLOOKUP(Table3[[#This Row],[Marker Name / Summenformel]],PhysChem_Table[],9,FALSE)</f>
        <v>n.a.</v>
      </c>
      <c r="W58" s="38" t="str">
        <f>VLOOKUP(Table3[[#This Row],[Marker Name / Summenformel]],PhysChem_Table[],10,FALSE)</f>
        <v>n.a.</v>
      </c>
      <c r="X58" s="38" t="str">
        <f>VLOOKUP(Table3[[#This Row],[Marker Name / Summenformel]],PhysChem_Table[],11,FALSE)</f>
        <v>n.a.</v>
      </c>
      <c r="Y58" s="38" t="str">
        <f>VLOOKUP(Table3[[#This Row],[Marker Name / Summenformel]],PhysChem_Table[],12,FALSE)</f>
        <v>n.a.</v>
      </c>
      <c r="Z58" s="38" t="str">
        <f>VLOOKUP(Table3[[#This Row],[Marker Name / Summenformel]],PhysChem_Table[],13,FALSE)</f>
        <v>n.a.</v>
      </c>
      <c r="AA58" s="38" t="str">
        <f>VLOOKUP(Table3[[#This Row],[Marker Name / Summenformel]],PhysChem_Table[],14,FALSE)</f>
        <v>n.a.</v>
      </c>
      <c r="AB58" s="38" t="str">
        <f>VLOOKUP(Table3[[#This Row],[Marker Name / Summenformel]],PhysChem_Table[],15,FALSE)</f>
        <v>n.a.</v>
      </c>
      <c r="AC58" s="38" t="str">
        <f>VLOOKUP(Table3[[#This Row],[Marker Name / Summenformel]],PhysChem_Table[],16,FALSE)</f>
        <v>n.a.</v>
      </c>
      <c r="AD58" s="38" t="str">
        <f>VLOOKUP(Table3[[#This Row],[Marker Name / Summenformel]],PhysChem_Table[],17,FALSE)</f>
        <v>n.a.</v>
      </c>
      <c r="AE58" s="38" t="str">
        <f>VLOOKUP(Table3[[#This Row],[Marker Name / Summenformel]],PhysChem_Table[],18,FALSE)</f>
        <v>n.a.</v>
      </c>
      <c r="AF58" s="38" t="str">
        <f>VLOOKUP(Table3[[#This Row],[Marker Name / Summenformel]],PhysChem_Table[],19,FALSE)</f>
        <v>n.a.</v>
      </c>
      <c r="AG58" s="38" t="str">
        <f>VLOOKUP(Table3[[#This Row],[Marker Name / Summenformel]],PhysChem_Table[],20,FALSE)</f>
        <v>n.a.</v>
      </c>
      <c r="AH58" s="38" t="str">
        <f>VLOOKUP(Table3[[#This Row],[Marker Name / Summenformel]],PhysChem_Table[],21,FALSE)</f>
        <v>n.a.</v>
      </c>
      <c r="AI58" s="38" t="str">
        <f>VLOOKUP(Table3[[#This Row],[Marker Name / Summenformel]],PhysChem_Table[],22,FALSE)</f>
        <v>n.a.</v>
      </c>
      <c r="AJ58" s="38" t="str">
        <f>VLOOKUP(Table3[[#This Row],[Marker Name / Summenformel]],PhysChem_Table[],23,FALSE)</f>
        <v>n.a.</v>
      </c>
      <c r="AK58" s="38" t="str">
        <f>VLOOKUP(Table3[[#This Row],[Marker Name / Summenformel]],PhysChem_Table[],24,FALSE)</f>
        <v>n.a.</v>
      </c>
      <c r="AL58" s="38" t="str">
        <f>VLOOKUP(Table3[[#This Row],[Marker Name / Summenformel]],PhysChem_Table[],25,FALSE)</f>
        <v>n.a.</v>
      </c>
      <c r="AM58" s="38" t="str">
        <f>VLOOKUP(Table3[[#This Row],[Marker Name / Summenformel]],PhysChem_Table[],26,FALSE)</f>
        <v>n.a.</v>
      </c>
      <c r="AN58" s="38" t="str">
        <f>VLOOKUP(Table3[[#This Row],[Marker Name / Summenformel]],PhysChem_Table[],27,FALSE)</f>
        <v>n.a.</v>
      </c>
      <c r="AO58" s="38" t="str">
        <f>VLOOKUP(Table3[[#This Row],[Marker Name / Summenformel]],PhysChem_Table[],28,FALSE)</f>
        <v>n.a.</v>
      </c>
      <c r="AP58" s="38" t="str">
        <f>VLOOKUP(Table3[[#This Row],[Marker Name / Summenformel]],PhysChem_Table[],29,FALSE)</f>
        <v>n.a.</v>
      </c>
      <c r="AQ58" s="38" t="str">
        <f>VLOOKUP(Table3[[#This Row],[Marker Name / Summenformel]],PhysChem_Table[],30,FALSE)</f>
        <v>n.a.</v>
      </c>
      <c r="AR58" s="38" t="str">
        <f>VLOOKUP(Table3[[#This Row],[Marker Name / Summenformel]],PhysChem_Table[],31,FALSE)</f>
        <v>n.a.</v>
      </c>
      <c r="AS58" s="38" t="str">
        <f>VLOOKUP(Table3[[#This Row],[Marker Name / Summenformel]],PhysChem_Table[],32,FALSE)</f>
        <v>n.a.</v>
      </c>
      <c r="AT58" s="38" t="str">
        <f>VLOOKUP(Table3[[#This Row],[Marker Name / Summenformel]],PhysChem_Table[],33,FALSE)</f>
        <v>n.a.</v>
      </c>
      <c r="AU58" s="38" t="str">
        <f>VLOOKUP(Table3[[#This Row],[Marker Name / Summenformel]],PhysChem_Table[],34,FALSE)</f>
        <v>n.a.</v>
      </c>
      <c r="AV58" s="10">
        <f>VLOOKUP(Table3[[#This Row],[Marker Name / Summenformel]],PhysChem_Table[],35,FALSE)</f>
        <v>0</v>
      </c>
    </row>
    <row r="59" spans="1:48" x14ac:dyDescent="0.3">
      <c r="A59" s="10" t="s">
        <v>448</v>
      </c>
      <c r="B59" s="38" t="str">
        <f>VLOOKUP(Table3[[#This Row],[Marker Name / Summenformel]],BaseInfos_Table[],2,FALSE)</f>
        <v>modified acridone</v>
      </c>
      <c r="C59" s="38" t="str">
        <f>VLOOKUP(Table3[[#This Row],[Marker Name / Summenformel]],BaseInfos_Table[],3,FALSE)</f>
        <v>n.a.</v>
      </c>
      <c r="D59" s="38" t="str">
        <f>VLOOKUP(Table3[[#This Row],[Marker Name / Summenformel]],BaseInfos_Table[],4,FALSE)</f>
        <v>n.a.</v>
      </c>
      <c r="E59" s="38" t="str">
        <f>VLOOKUP(Table3[[#This Row],[Marker Name / Summenformel]],BaseInfos_Table[],5,FALSE)</f>
        <v>Smith et al., 2004 / Journal of Fluorescence</v>
      </c>
      <c r="F59" s="38" t="str">
        <f>VLOOKUP(Table3[[#This Row],[Marker Name / Summenformel]],BaseInfos_Table[],6,FALSE)</f>
        <v>UV-Vis</v>
      </c>
      <c r="G59" s="38" t="str">
        <f>VLOOKUP(Table3[[#This Row],[Marker Name / Summenformel]],BaseInfos_Table[],7,FALSE)</f>
        <v>N</v>
      </c>
      <c r="H59" s="38" t="str">
        <f>VLOOKUP(Table3[[#This Row],[Marker Name / Summenformel]],BaseInfos_Table[],8,FALSE)</f>
        <v>n.a.</v>
      </c>
      <c r="I59" s="38" t="str">
        <f>VLOOKUP(Table3[[#This Row],[Marker Name / Summenformel]],BaseInfos_Table[],9,FALSE)</f>
        <v>n.a.</v>
      </c>
      <c r="J59" s="38" t="str">
        <f>VLOOKUP(Table3[[#This Row],[Marker Name / Summenformel]],BaseInfos_Table[],10,FALSE)</f>
        <v>n.a.</v>
      </c>
      <c r="K59" s="38">
        <f>VLOOKUP(Table3[[#This Row],[Marker Name / Summenformel]],BaseInfos_Table[],11,FALSE)</f>
        <v>0</v>
      </c>
      <c r="L59" s="10" t="str">
        <f>VLOOKUP(Table3[[#This Row],[Marker Name / Summenformel]],GHS_Table[#All],3,FALSE)</f>
        <v>n.a.</v>
      </c>
      <c r="M59" s="10" t="str">
        <f>VLOOKUP(Table3[[#This Row],[Marker Name / Summenformel]],GHS_Table[#All],4,FALSE)</f>
        <v>n.a.</v>
      </c>
      <c r="N59" s="10" t="str">
        <f>VLOOKUP(Table3[[#This Row],[Marker Name / Summenformel]],GHS_Table[#All],5,FALSE)</f>
        <v>n.a.</v>
      </c>
      <c r="O59" s="10" t="str">
        <f>VLOOKUP(Table3[[#This Row],[Marker Name / Summenformel]],GHS_Table[#All],6,FALSE)</f>
        <v>n.a.</v>
      </c>
      <c r="P59" s="38" t="str">
        <f>VLOOKUP(Table3[[#This Row],[Marker Name / Summenformel]],PhysChem_Table[],3,FALSE)</f>
        <v>n.a.</v>
      </c>
      <c r="Q59" s="38" t="str">
        <f>VLOOKUP(Table3[[#This Row],[Marker Name / Summenformel]],PhysChem_Table[],4,FALSE)</f>
        <v>n.a.</v>
      </c>
      <c r="R59" s="38" t="str">
        <f>VLOOKUP(Table3[[#This Row],[Marker Name / Summenformel]],PhysChem_Table[],5,FALSE)</f>
        <v>n.a.</v>
      </c>
      <c r="S59" s="38" t="str">
        <f>VLOOKUP(Table3[[#This Row],[Marker Name / Summenformel]],PhysChem_Table[],6,FALSE)</f>
        <v>n.a.</v>
      </c>
      <c r="T59" s="38" t="str">
        <f>VLOOKUP(Table3[[#This Row],[Marker Name / Summenformel]],PhysChem_Table[],7,FALSE)</f>
        <v>n.a.</v>
      </c>
      <c r="U59" s="38" t="str">
        <f>VLOOKUP(Table3[[#This Row],[Marker Name / Summenformel]],PhysChem_Table[],8,FALSE)</f>
        <v>n.a.</v>
      </c>
      <c r="V59" s="38" t="str">
        <f>VLOOKUP(Table3[[#This Row],[Marker Name / Summenformel]],PhysChem_Table[],9,FALSE)</f>
        <v>n.a.</v>
      </c>
      <c r="W59" s="38" t="str">
        <f>VLOOKUP(Table3[[#This Row],[Marker Name / Summenformel]],PhysChem_Table[],10,FALSE)</f>
        <v>n.a.</v>
      </c>
      <c r="X59" s="38" t="str">
        <f>VLOOKUP(Table3[[#This Row],[Marker Name / Summenformel]],PhysChem_Table[],11,FALSE)</f>
        <v>n.a.</v>
      </c>
      <c r="Y59" s="38" t="str">
        <f>VLOOKUP(Table3[[#This Row],[Marker Name / Summenformel]],PhysChem_Table[],12,FALSE)</f>
        <v>n.a.</v>
      </c>
      <c r="Z59" s="38" t="str">
        <f>VLOOKUP(Table3[[#This Row],[Marker Name / Summenformel]],PhysChem_Table[],13,FALSE)</f>
        <v>n.a.</v>
      </c>
      <c r="AA59" s="38" t="str">
        <f>VLOOKUP(Table3[[#This Row],[Marker Name / Summenformel]],PhysChem_Table[],14,FALSE)</f>
        <v>n.a.</v>
      </c>
      <c r="AB59" s="38" t="str">
        <f>VLOOKUP(Table3[[#This Row],[Marker Name / Summenformel]],PhysChem_Table[],15,FALSE)</f>
        <v>n.a.</v>
      </c>
      <c r="AC59" s="38" t="str">
        <f>VLOOKUP(Table3[[#This Row],[Marker Name / Summenformel]],PhysChem_Table[],16,FALSE)</f>
        <v>n.a.</v>
      </c>
      <c r="AD59" s="38" t="str">
        <f>VLOOKUP(Table3[[#This Row],[Marker Name / Summenformel]],PhysChem_Table[],17,FALSE)</f>
        <v>n.a.</v>
      </c>
      <c r="AE59" s="38" t="str">
        <f>VLOOKUP(Table3[[#This Row],[Marker Name / Summenformel]],PhysChem_Table[],18,FALSE)</f>
        <v>n.a.</v>
      </c>
      <c r="AF59" s="38" t="str">
        <f>VLOOKUP(Table3[[#This Row],[Marker Name / Summenformel]],PhysChem_Table[],19,FALSE)</f>
        <v>n.a.</v>
      </c>
      <c r="AG59" s="38" t="str">
        <f>VLOOKUP(Table3[[#This Row],[Marker Name / Summenformel]],PhysChem_Table[],20,FALSE)</f>
        <v>n.a.</v>
      </c>
      <c r="AH59" s="38" t="str">
        <f>VLOOKUP(Table3[[#This Row],[Marker Name / Summenformel]],PhysChem_Table[],21,FALSE)</f>
        <v>n.a.</v>
      </c>
      <c r="AI59" s="38" t="str">
        <f>VLOOKUP(Table3[[#This Row],[Marker Name / Summenformel]],PhysChem_Table[],22,FALSE)</f>
        <v>n.a.</v>
      </c>
      <c r="AJ59" s="38" t="str">
        <f>VLOOKUP(Table3[[#This Row],[Marker Name / Summenformel]],PhysChem_Table[],23,FALSE)</f>
        <v>n.a.</v>
      </c>
      <c r="AK59" s="38" t="str">
        <f>VLOOKUP(Table3[[#This Row],[Marker Name / Summenformel]],PhysChem_Table[],24,FALSE)</f>
        <v>n.a.</v>
      </c>
      <c r="AL59" s="38" t="str">
        <f>VLOOKUP(Table3[[#This Row],[Marker Name / Summenformel]],PhysChem_Table[],25,FALSE)</f>
        <v>n.a.</v>
      </c>
      <c r="AM59" s="38" t="str">
        <f>VLOOKUP(Table3[[#This Row],[Marker Name / Summenformel]],PhysChem_Table[],26,FALSE)</f>
        <v>n.a.</v>
      </c>
      <c r="AN59" s="38" t="str">
        <f>VLOOKUP(Table3[[#This Row],[Marker Name / Summenformel]],PhysChem_Table[],27,FALSE)</f>
        <v>n.a.</v>
      </c>
      <c r="AO59" s="38" t="str">
        <f>VLOOKUP(Table3[[#This Row],[Marker Name / Summenformel]],PhysChem_Table[],28,FALSE)</f>
        <v>n.a.</v>
      </c>
      <c r="AP59" s="38" t="str">
        <f>VLOOKUP(Table3[[#This Row],[Marker Name / Summenformel]],PhysChem_Table[],29,FALSE)</f>
        <v>n.a.</v>
      </c>
      <c r="AQ59" s="38" t="str">
        <f>VLOOKUP(Table3[[#This Row],[Marker Name / Summenformel]],PhysChem_Table[],30,FALSE)</f>
        <v>n.a.</v>
      </c>
      <c r="AR59" s="38" t="str">
        <f>VLOOKUP(Table3[[#This Row],[Marker Name / Summenformel]],PhysChem_Table[],31,FALSE)</f>
        <v>n.a.</v>
      </c>
      <c r="AS59" s="38" t="str">
        <f>VLOOKUP(Table3[[#This Row],[Marker Name / Summenformel]],PhysChem_Table[],32,FALSE)</f>
        <v>n.a.</v>
      </c>
      <c r="AT59" s="38" t="str">
        <f>VLOOKUP(Table3[[#This Row],[Marker Name / Summenformel]],PhysChem_Table[],33,FALSE)</f>
        <v>n.a.</v>
      </c>
      <c r="AU59" s="38" t="str">
        <f>VLOOKUP(Table3[[#This Row],[Marker Name / Summenformel]],PhysChem_Table[],34,FALSE)</f>
        <v>n.a.</v>
      </c>
      <c r="AV59" s="10">
        <f>VLOOKUP(Table3[[#This Row],[Marker Name / Summenformel]],PhysChem_Table[],35,FALSE)</f>
        <v>0</v>
      </c>
    </row>
    <row r="60" spans="1:48" x14ac:dyDescent="0.3">
      <c r="A60" s="10" t="s">
        <v>449</v>
      </c>
      <c r="B60" s="38" t="str">
        <f>VLOOKUP(Table3[[#This Row],[Marker Name / Summenformel]],BaseInfos_Table[],2,FALSE)</f>
        <v>modified acridone</v>
      </c>
      <c r="C60" s="38" t="str">
        <f>VLOOKUP(Table3[[#This Row],[Marker Name / Summenformel]],BaseInfos_Table[],3,FALSE)</f>
        <v>n.a.</v>
      </c>
      <c r="D60" s="38" t="str">
        <f>VLOOKUP(Table3[[#This Row],[Marker Name / Summenformel]],BaseInfos_Table[],4,FALSE)</f>
        <v>n.a.</v>
      </c>
      <c r="E60" s="38" t="str">
        <f>VLOOKUP(Table3[[#This Row],[Marker Name / Summenformel]],BaseInfos_Table[],5,FALSE)</f>
        <v>Smith et al., 2004 / Journal of Fluorescence</v>
      </c>
      <c r="F60" s="38" t="str">
        <f>VLOOKUP(Table3[[#This Row],[Marker Name / Summenformel]],BaseInfos_Table[],6,FALSE)</f>
        <v>UV-Vis</v>
      </c>
      <c r="G60" s="38" t="str">
        <f>VLOOKUP(Table3[[#This Row],[Marker Name / Summenformel]],BaseInfos_Table[],7,FALSE)</f>
        <v>N</v>
      </c>
      <c r="H60" s="38" t="str">
        <f>VLOOKUP(Table3[[#This Row],[Marker Name / Summenformel]],BaseInfos_Table[],8,FALSE)</f>
        <v>n.a.</v>
      </c>
      <c r="I60" s="38" t="str">
        <f>VLOOKUP(Table3[[#This Row],[Marker Name / Summenformel]],BaseInfos_Table[],9,FALSE)</f>
        <v>n.a.</v>
      </c>
      <c r="J60" s="38" t="str">
        <f>VLOOKUP(Table3[[#This Row],[Marker Name / Summenformel]],BaseInfos_Table[],10,FALSE)</f>
        <v>n.a.</v>
      </c>
      <c r="K60" s="38">
        <f>VLOOKUP(Table3[[#This Row],[Marker Name / Summenformel]],BaseInfos_Table[],11,FALSE)</f>
        <v>0</v>
      </c>
      <c r="L60" s="10" t="str">
        <f>VLOOKUP(Table3[[#This Row],[Marker Name / Summenformel]],GHS_Table[#All],3,FALSE)</f>
        <v>n.a.</v>
      </c>
      <c r="M60" s="10" t="str">
        <f>VLOOKUP(Table3[[#This Row],[Marker Name / Summenformel]],GHS_Table[#All],4,FALSE)</f>
        <v>n.a.</v>
      </c>
      <c r="N60" s="10" t="str">
        <f>VLOOKUP(Table3[[#This Row],[Marker Name / Summenformel]],GHS_Table[#All],5,FALSE)</f>
        <v>n.a.</v>
      </c>
      <c r="O60" s="10" t="str">
        <f>VLOOKUP(Table3[[#This Row],[Marker Name / Summenformel]],GHS_Table[#All],6,FALSE)</f>
        <v>n.a.</v>
      </c>
      <c r="P60" s="38" t="str">
        <f>VLOOKUP(Table3[[#This Row],[Marker Name / Summenformel]],PhysChem_Table[],3,FALSE)</f>
        <v>n.a.</v>
      </c>
      <c r="Q60" s="38" t="str">
        <f>VLOOKUP(Table3[[#This Row],[Marker Name / Summenformel]],PhysChem_Table[],4,FALSE)</f>
        <v>n.a.</v>
      </c>
      <c r="R60" s="38" t="str">
        <f>VLOOKUP(Table3[[#This Row],[Marker Name / Summenformel]],PhysChem_Table[],5,FALSE)</f>
        <v>n.a.</v>
      </c>
      <c r="S60" s="38" t="str">
        <f>VLOOKUP(Table3[[#This Row],[Marker Name / Summenformel]],PhysChem_Table[],6,FALSE)</f>
        <v>n.a.</v>
      </c>
      <c r="T60" s="38" t="str">
        <f>VLOOKUP(Table3[[#This Row],[Marker Name / Summenformel]],PhysChem_Table[],7,FALSE)</f>
        <v>n.a.</v>
      </c>
      <c r="U60" s="38" t="str">
        <f>VLOOKUP(Table3[[#This Row],[Marker Name / Summenformel]],PhysChem_Table[],8,FALSE)</f>
        <v>n.a.</v>
      </c>
      <c r="V60" s="38" t="str">
        <f>VLOOKUP(Table3[[#This Row],[Marker Name / Summenformel]],PhysChem_Table[],9,FALSE)</f>
        <v>n.a.</v>
      </c>
      <c r="W60" s="38" t="str">
        <f>VLOOKUP(Table3[[#This Row],[Marker Name / Summenformel]],PhysChem_Table[],10,FALSE)</f>
        <v>n.a.</v>
      </c>
      <c r="X60" s="38" t="str">
        <f>VLOOKUP(Table3[[#This Row],[Marker Name / Summenformel]],PhysChem_Table[],11,FALSE)</f>
        <v>n.a.</v>
      </c>
      <c r="Y60" s="38" t="str">
        <f>VLOOKUP(Table3[[#This Row],[Marker Name / Summenformel]],PhysChem_Table[],12,FALSE)</f>
        <v>n.a.</v>
      </c>
      <c r="Z60" s="38" t="str">
        <f>VLOOKUP(Table3[[#This Row],[Marker Name / Summenformel]],PhysChem_Table[],13,FALSE)</f>
        <v>n.a.</v>
      </c>
      <c r="AA60" s="38" t="str">
        <f>VLOOKUP(Table3[[#This Row],[Marker Name / Summenformel]],PhysChem_Table[],14,FALSE)</f>
        <v>n.a.</v>
      </c>
      <c r="AB60" s="38" t="str">
        <f>VLOOKUP(Table3[[#This Row],[Marker Name / Summenformel]],PhysChem_Table[],15,FALSE)</f>
        <v>n.a.</v>
      </c>
      <c r="AC60" s="38" t="str">
        <f>VLOOKUP(Table3[[#This Row],[Marker Name / Summenformel]],PhysChem_Table[],16,FALSE)</f>
        <v>n.a.</v>
      </c>
      <c r="AD60" s="38" t="str">
        <f>VLOOKUP(Table3[[#This Row],[Marker Name / Summenformel]],PhysChem_Table[],17,FALSE)</f>
        <v>n.a.</v>
      </c>
      <c r="AE60" s="38" t="str">
        <f>VLOOKUP(Table3[[#This Row],[Marker Name / Summenformel]],PhysChem_Table[],18,FALSE)</f>
        <v>n.a.</v>
      </c>
      <c r="AF60" s="38" t="str">
        <f>VLOOKUP(Table3[[#This Row],[Marker Name / Summenformel]],PhysChem_Table[],19,FALSE)</f>
        <v>n.a.</v>
      </c>
      <c r="AG60" s="38" t="str">
        <f>VLOOKUP(Table3[[#This Row],[Marker Name / Summenformel]],PhysChem_Table[],20,FALSE)</f>
        <v>n.a.</v>
      </c>
      <c r="AH60" s="38" t="str">
        <f>VLOOKUP(Table3[[#This Row],[Marker Name / Summenformel]],PhysChem_Table[],21,FALSE)</f>
        <v>n.a.</v>
      </c>
      <c r="AI60" s="38" t="str">
        <f>VLOOKUP(Table3[[#This Row],[Marker Name / Summenformel]],PhysChem_Table[],22,FALSE)</f>
        <v>n.a.</v>
      </c>
      <c r="AJ60" s="38" t="str">
        <f>VLOOKUP(Table3[[#This Row],[Marker Name / Summenformel]],PhysChem_Table[],23,FALSE)</f>
        <v>n.a.</v>
      </c>
      <c r="AK60" s="38" t="str">
        <f>VLOOKUP(Table3[[#This Row],[Marker Name / Summenformel]],PhysChem_Table[],24,FALSE)</f>
        <v>n.a.</v>
      </c>
      <c r="AL60" s="38" t="str">
        <f>VLOOKUP(Table3[[#This Row],[Marker Name / Summenformel]],PhysChem_Table[],25,FALSE)</f>
        <v>n.a.</v>
      </c>
      <c r="AM60" s="38" t="str">
        <f>VLOOKUP(Table3[[#This Row],[Marker Name / Summenformel]],PhysChem_Table[],26,FALSE)</f>
        <v>n.a.</v>
      </c>
      <c r="AN60" s="38" t="str">
        <f>VLOOKUP(Table3[[#This Row],[Marker Name / Summenformel]],PhysChem_Table[],27,FALSE)</f>
        <v>n.a.</v>
      </c>
      <c r="AO60" s="38" t="str">
        <f>VLOOKUP(Table3[[#This Row],[Marker Name / Summenformel]],PhysChem_Table[],28,FALSE)</f>
        <v>n.a.</v>
      </c>
      <c r="AP60" s="38" t="str">
        <f>VLOOKUP(Table3[[#This Row],[Marker Name / Summenformel]],PhysChem_Table[],29,FALSE)</f>
        <v>n.a.</v>
      </c>
      <c r="AQ60" s="38" t="str">
        <f>VLOOKUP(Table3[[#This Row],[Marker Name / Summenformel]],PhysChem_Table[],30,FALSE)</f>
        <v>n.a.</v>
      </c>
      <c r="AR60" s="38" t="str">
        <f>VLOOKUP(Table3[[#This Row],[Marker Name / Summenformel]],PhysChem_Table[],31,FALSE)</f>
        <v>n.a.</v>
      </c>
      <c r="AS60" s="38" t="str">
        <f>VLOOKUP(Table3[[#This Row],[Marker Name / Summenformel]],PhysChem_Table[],32,FALSE)</f>
        <v>n.a.</v>
      </c>
      <c r="AT60" s="38" t="str">
        <f>VLOOKUP(Table3[[#This Row],[Marker Name / Summenformel]],PhysChem_Table[],33,FALSE)</f>
        <v>n.a.</v>
      </c>
      <c r="AU60" s="38" t="str">
        <f>VLOOKUP(Table3[[#This Row],[Marker Name / Summenformel]],PhysChem_Table[],34,FALSE)</f>
        <v>n.a.</v>
      </c>
      <c r="AV60" s="10">
        <f>VLOOKUP(Table3[[#This Row],[Marker Name / Summenformel]],PhysChem_Table[],35,FALSE)</f>
        <v>0</v>
      </c>
    </row>
    <row r="61" spans="1:48" x14ac:dyDescent="0.3">
      <c r="A61" s="10" t="s">
        <v>450</v>
      </c>
      <c r="B61" s="38" t="str">
        <f>VLOOKUP(Table3[[#This Row],[Marker Name / Summenformel]],BaseInfos_Table[],2,FALSE)</f>
        <v>modified acridone</v>
      </c>
      <c r="C61" s="38" t="str">
        <f>VLOOKUP(Table3[[#This Row],[Marker Name / Summenformel]],BaseInfos_Table[],3,FALSE)</f>
        <v>n.a.</v>
      </c>
      <c r="D61" s="38" t="str">
        <f>VLOOKUP(Table3[[#This Row],[Marker Name / Summenformel]],BaseInfos_Table[],4,FALSE)</f>
        <v>n.a.</v>
      </c>
      <c r="E61" s="38" t="str">
        <f>VLOOKUP(Table3[[#This Row],[Marker Name / Summenformel]],BaseInfos_Table[],5,FALSE)</f>
        <v>Smith et al., 2004 / Journal of Fluorescence</v>
      </c>
      <c r="F61" s="38" t="str">
        <f>VLOOKUP(Table3[[#This Row],[Marker Name / Summenformel]],BaseInfos_Table[],6,FALSE)</f>
        <v>UV-Vis</v>
      </c>
      <c r="G61" s="38" t="str">
        <f>VLOOKUP(Table3[[#This Row],[Marker Name / Summenformel]],BaseInfos_Table[],7,FALSE)</f>
        <v>N</v>
      </c>
      <c r="H61" s="38" t="str">
        <f>VLOOKUP(Table3[[#This Row],[Marker Name / Summenformel]],BaseInfos_Table[],8,FALSE)</f>
        <v>n.a.</v>
      </c>
      <c r="I61" s="38" t="str">
        <f>VLOOKUP(Table3[[#This Row],[Marker Name / Summenformel]],BaseInfos_Table[],9,FALSE)</f>
        <v>n.a.</v>
      </c>
      <c r="J61" s="38" t="str">
        <f>VLOOKUP(Table3[[#This Row],[Marker Name / Summenformel]],BaseInfos_Table[],10,FALSE)</f>
        <v>n.a.</v>
      </c>
      <c r="K61" s="38">
        <f>VLOOKUP(Table3[[#This Row],[Marker Name / Summenformel]],BaseInfos_Table[],11,FALSE)</f>
        <v>0</v>
      </c>
      <c r="L61" s="10" t="str">
        <f>VLOOKUP(Table3[[#This Row],[Marker Name / Summenformel]],GHS_Table[#All],3,FALSE)</f>
        <v>n.a.</v>
      </c>
      <c r="M61" s="10" t="str">
        <f>VLOOKUP(Table3[[#This Row],[Marker Name / Summenformel]],GHS_Table[#All],4,FALSE)</f>
        <v>n.a.</v>
      </c>
      <c r="N61" s="10" t="str">
        <f>VLOOKUP(Table3[[#This Row],[Marker Name / Summenformel]],GHS_Table[#All],5,FALSE)</f>
        <v>n.a.</v>
      </c>
      <c r="O61" s="10" t="str">
        <f>VLOOKUP(Table3[[#This Row],[Marker Name / Summenformel]],GHS_Table[#All],6,FALSE)</f>
        <v>n.a.</v>
      </c>
      <c r="P61" s="38" t="str">
        <f>VLOOKUP(Table3[[#This Row],[Marker Name / Summenformel]],PhysChem_Table[],3,FALSE)</f>
        <v>n.a.</v>
      </c>
      <c r="Q61" s="38" t="str">
        <f>VLOOKUP(Table3[[#This Row],[Marker Name / Summenformel]],PhysChem_Table[],4,FALSE)</f>
        <v>n.a.</v>
      </c>
      <c r="R61" s="38" t="str">
        <f>VLOOKUP(Table3[[#This Row],[Marker Name / Summenformel]],PhysChem_Table[],5,FALSE)</f>
        <v>n.a.</v>
      </c>
      <c r="S61" s="38" t="str">
        <f>VLOOKUP(Table3[[#This Row],[Marker Name / Summenformel]],PhysChem_Table[],6,FALSE)</f>
        <v>n.a.</v>
      </c>
      <c r="T61" s="38" t="str">
        <f>VLOOKUP(Table3[[#This Row],[Marker Name / Summenformel]],PhysChem_Table[],7,FALSE)</f>
        <v>n.a.</v>
      </c>
      <c r="U61" s="38" t="str">
        <f>VLOOKUP(Table3[[#This Row],[Marker Name / Summenformel]],PhysChem_Table[],8,FALSE)</f>
        <v>n.a.</v>
      </c>
      <c r="V61" s="38" t="str">
        <f>VLOOKUP(Table3[[#This Row],[Marker Name / Summenformel]],PhysChem_Table[],9,FALSE)</f>
        <v>n.a.</v>
      </c>
      <c r="W61" s="38" t="str">
        <f>VLOOKUP(Table3[[#This Row],[Marker Name / Summenformel]],PhysChem_Table[],10,FALSE)</f>
        <v>n.a.</v>
      </c>
      <c r="X61" s="38" t="str">
        <f>VLOOKUP(Table3[[#This Row],[Marker Name / Summenformel]],PhysChem_Table[],11,FALSE)</f>
        <v>n.a.</v>
      </c>
      <c r="Y61" s="38" t="str">
        <f>VLOOKUP(Table3[[#This Row],[Marker Name / Summenformel]],PhysChem_Table[],12,FALSE)</f>
        <v>n.a.</v>
      </c>
      <c r="Z61" s="38" t="str">
        <f>VLOOKUP(Table3[[#This Row],[Marker Name / Summenformel]],PhysChem_Table[],13,FALSE)</f>
        <v>n.a.</v>
      </c>
      <c r="AA61" s="38" t="str">
        <f>VLOOKUP(Table3[[#This Row],[Marker Name / Summenformel]],PhysChem_Table[],14,FALSE)</f>
        <v>n.a.</v>
      </c>
      <c r="AB61" s="38" t="str">
        <f>VLOOKUP(Table3[[#This Row],[Marker Name / Summenformel]],PhysChem_Table[],15,FALSE)</f>
        <v>n.a.</v>
      </c>
      <c r="AC61" s="38" t="str">
        <f>VLOOKUP(Table3[[#This Row],[Marker Name / Summenformel]],PhysChem_Table[],16,FALSE)</f>
        <v>n.a.</v>
      </c>
      <c r="AD61" s="38" t="str">
        <f>VLOOKUP(Table3[[#This Row],[Marker Name / Summenformel]],PhysChem_Table[],17,FALSE)</f>
        <v>n.a.</v>
      </c>
      <c r="AE61" s="38" t="str">
        <f>VLOOKUP(Table3[[#This Row],[Marker Name / Summenformel]],PhysChem_Table[],18,FALSE)</f>
        <v>n.a.</v>
      </c>
      <c r="AF61" s="38" t="str">
        <f>VLOOKUP(Table3[[#This Row],[Marker Name / Summenformel]],PhysChem_Table[],19,FALSE)</f>
        <v>n.a.</v>
      </c>
      <c r="AG61" s="38" t="str">
        <f>VLOOKUP(Table3[[#This Row],[Marker Name / Summenformel]],PhysChem_Table[],20,FALSE)</f>
        <v>n.a.</v>
      </c>
      <c r="AH61" s="38" t="str">
        <f>VLOOKUP(Table3[[#This Row],[Marker Name / Summenformel]],PhysChem_Table[],21,FALSE)</f>
        <v>n.a.</v>
      </c>
      <c r="AI61" s="38" t="str">
        <f>VLOOKUP(Table3[[#This Row],[Marker Name / Summenformel]],PhysChem_Table[],22,FALSE)</f>
        <v>n.a.</v>
      </c>
      <c r="AJ61" s="38" t="str">
        <f>VLOOKUP(Table3[[#This Row],[Marker Name / Summenformel]],PhysChem_Table[],23,FALSE)</f>
        <v>n.a.</v>
      </c>
      <c r="AK61" s="38" t="str">
        <f>VLOOKUP(Table3[[#This Row],[Marker Name / Summenformel]],PhysChem_Table[],24,FALSE)</f>
        <v>n.a.</v>
      </c>
      <c r="AL61" s="38" t="str">
        <f>VLOOKUP(Table3[[#This Row],[Marker Name / Summenformel]],PhysChem_Table[],25,FALSE)</f>
        <v>n.a.</v>
      </c>
      <c r="AM61" s="38" t="str">
        <f>VLOOKUP(Table3[[#This Row],[Marker Name / Summenformel]],PhysChem_Table[],26,FALSE)</f>
        <v>n.a.</v>
      </c>
      <c r="AN61" s="38" t="str">
        <f>VLOOKUP(Table3[[#This Row],[Marker Name / Summenformel]],PhysChem_Table[],27,FALSE)</f>
        <v>n.a.</v>
      </c>
      <c r="AO61" s="38" t="str">
        <f>VLOOKUP(Table3[[#This Row],[Marker Name / Summenformel]],PhysChem_Table[],28,FALSE)</f>
        <v>n.a.</v>
      </c>
      <c r="AP61" s="38" t="str">
        <f>VLOOKUP(Table3[[#This Row],[Marker Name / Summenformel]],PhysChem_Table[],29,FALSE)</f>
        <v>n.a.</v>
      </c>
      <c r="AQ61" s="38" t="str">
        <f>VLOOKUP(Table3[[#This Row],[Marker Name / Summenformel]],PhysChem_Table[],30,FALSE)</f>
        <v>n.a.</v>
      </c>
      <c r="AR61" s="38" t="str">
        <f>VLOOKUP(Table3[[#This Row],[Marker Name / Summenformel]],PhysChem_Table[],31,FALSE)</f>
        <v>n.a.</v>
      </c>
      <c r="AS61" s="38" t="str">
        <f>VLOOKUP(Table3[[#This Row],[Marker Name / Summenformel]],PhysChem_Table[],32,FALSE)</f>
        <v>n.a.</v>
      </c>
      <c r="AT61" s="38" t="str">
        <f>VLOOKUP(Table3[[#This Row],[Marker Name / Summenformel]],PhysChem_Table[],33,FALSE)</f>
        <v>n.a.</v>
      </c>
      <c r="AU61" s="38" t="str">
        <f>VLOOKUP(Table3[[#This Row],[Marker Name / Summenformel]],PhysChem_Table[],34,FALSE)</f>
        <v>n.a.</v>
      </c>
      <c r="AV61" s="10">
        <f>VLOOKUP(Table3[[#This Row],[Marker Name / Summenformel]],PhysChem_Table[],35,FALSE)</f>
        <v>0</v>
      </c>
    </row>
    <row r="62" spans="1:48" x14ac:dyDescent="0.3">
      <c r="A62" s="10" t="s">
        <v>451</v>
      </c>
      <c r="B62" s="38" t="str">
        <f>VLOOKUP(Table3[[#This Row],[Marker Name / Summenformel]],BaseInfos_Table[],2,FALSE)</f>
        <v>modified acridone</v>
      </c>
      <c r="C62" s="38" t="str">
        <f>VLOOKUP(Table3[[#This Row],[Marker Name / Summenformel]],BaseInfos_Table[],3,FALSE)</f>
        <v>n.a.</v>
      </c>
      <c r="D62" s="38" t="str">
        <f>VLOOKUP(Table3[[#This Row],[Marker Name / Summenformel]],BaseInfos_Table[],4,FALSE)</f>
        <v>n.a.</v>
      </c>
      <c r="E62" s="38" t="str">
        <f>VLOOKUP(Table3[[#This Row],[Marker Name / Summenformel]],BaseInfos_Table[],5,FALSE)</f>
        <v>Smith et al., 2004 / Journal of Fluorescence</v>
      </c>
      <c r="F62" s="38" t="str">
        <f>VLOOKUP(Table3[[#This Row],[Marker Name / Summenformel]],BaseInfos_Table[],6,FALSE)</f>
        <v>UV-Vis</v>
      </c>
      <c r="G62" s="38" t="str">
        <f>VLOOKUP(Table3[[#This Row],[Marker Name / Summenformel]],BaseInfos_Table[],7,FALSE)</f>
        <v>N</v>
      </c>
      <c r="H62" s="38" t="str">
        <f>VLOOKUP(Table3[[#This Row],[Marker Name / Summenformel]],BaseInfos_Table[],8,FALSE)</f>
        <v>n.a.</v>
      </c>
      <c r="I62" s="38" t="str">
        <f>VLOOKUP(Table3[[#This Row],[Marker Name / Summenformel]],BaseInfos_Table[],9,FALSE)</f>
        <v>n.a.</v>
      </c>
      <c r="J62" s="38" t="str">
        <f>VLOOKUP(Table3[[#This Row],[Marker Name / Summenformel]],BaseInfos_Table[],10,FALSE)</f>
        <v>n.a.</v>
      </c>
      <c r="K62" s="38">
        <f>VLOOKUP(Table3[[#This Row],[Marker Name / Summenformel]],BaseInfos_Table[],11,FALSE)</f>
        <v>0</v>
      </c>
      <c r="L62" s="10" t="str">
        <f>VLOOKUP(Table3[[#This Row],[Marker Name / Summenformel]],GHS_Table[#All],3,FALSE)</f>
        <v>n.a.</v>
      </c>
      <c r="M62" s="10" t="str">
        <f>VLOOKUP(Table3[[#This Row],[Marker Name / Summenformel]],GHS_Table[#All],4,FALSE)</f>
        <v>n.a.</v>
      </c>
      <c r="N62" s="10" t="str">
        <f>VLOOKUP(Table3[[#This Row],[Marker Name / Summenformel]],GHS_Table[#All],5,FALSE)</f>
        <v>n.a.</v>
      </c>
      <c r="O62" s="10" t="str">
        <f>VLOOKUP(Table3[[#This Row],[Marker Name / Summenformel]],GHS_Table[#All],6,FALSE)</f>
        <v>n.a.</v>
      </c>
      <c r="P62" s="38" t="str">
        <f>VLOOKUP(Table3[[#This Row],[Marker Name / Summenformel]],PhysChem_Table[],3,FALSE)</f>
        <v>n.a.</v>
      </c>
      <c r="Q62" s="38" t="str">
        <f>VLOOKUP(Table3[[#This Row],[Marker Name / Summenformel]],PhysChem_Table[],4,FALSE)</f>
        <v>n.a.</v>
      </c>
      <c r="R62" s="38" t="str">
        <f>VLOOKUP(Table3[[#This Row],[Marker Name / Summenformel]],PhysChem_Table[],5,FALSE)</f>
        <v>n.a.</v>
      </c>
      <c r="S62" s="38" t="str">
        <f>VLOOKUP(Table3[[#This Row],[Marker Name / Summenformel]],PhysChem_Table[],6,FALSE)</f>
        <v>n.a.</v>
      </c>
      <c r="T62" s="38" t="str">
        <f>VLOOKUP(Table3[[#This Row],[Marker Name / Summenformel]],PhysChem_Table[],7,FALSE)</f>
        <v>n.a.</v>
      </c>
      <c r="U62" s="38" t="str">
        <f>VLOOKUP(Table3[[#This Row],[Marker Name / Summenformel]],PhysChem_Table[],8,FALSE)</f>
        <v>n.a.</v>
      </c>
      <c r="V62" s="38" t="str">
        <f>VLOOKUP(Table3[[#This Row],[Marker Name / Summenformel]],PhysChem_Table[],9,FALSE)</f>
        <v>n.a.</v>
      </c>
      <c r="W62" s="38" t="str">
        <f>VLOOKUP(Table3[[#This Row],[Marker Name / Summenformel]],PhysChem_Table[],10,FALSE)</f>
        <v>n.a.</v>
      </c>
      <c r="X62" s="38" t="str">
        <f>VLOOKUP(Table3[[#This Row],[Marker Name / Summenformel]],PhysChem_Table[],11,FALSE)</f>
        <v>n.a.</v>
      </c>
      <c r="Y62" s="38" t="str">
        <f>VLOOKUP(Table3[[#This Row],[Marker Name / Summenformel]],PhysChem_Table[],12,FALSE)</f>
        <v>n.a.</v>
      </c>
      <c r="Z62" s="38" t="str">
        <f>VLOOKUP(Table3[[#This Row],[Marker Name / Summenformel]],PhysChem_Table[],13,FALSE)</f>
        <v>n.a.</v>
      </c>
      <c r="AA62" s="38" t="str">
        <f>VLOOKUP(Table3[[#This Row],[Marker Name / Summenformel]],PhysChem_Table[],14,FALSE)</f>
        <v>n.a.</v>
      </c>
      <c r="AB62" s="38" t="str">
        <f>VLOOKUP(Table3[[#This Row],[Marker Name / Summenformel]],PhysChem_Table[],15,FALSE)</f>
        <v>n.a.</v>
      </c>
      <c r="AC62" s="38" t="str">
        <f>VLOOKUP(Table3[[#This Row],[Marker Name / Summenformel]],PhysChem_Table[],16,FALSE)</f>
        <v>n.a.</v>
      </c>
      <c r="AD62" s="38" t="str">
        <f>VLOOKUP(Table3[[#This Row],[Marker Name / Summenformel]],PhysChem_Table[],17,FALSE)</f>
        <v>n.a.</v>
      </c>
      <c r="AE62" s="38" t="str">
        <f>VLOOKUP(Table3[[#This Row],[Marker Name / Summenformel]],PhysChem_Table[],18,FALSE)</f>
        <v>n.a.</v>
      </c>
      <c r="AF62" s="38" t="str">
        <f>VLOOKUP(Table3[[#This Row],[Marker Name / Summenformel]],PhysChem_Table[],19,FALSE)</f>
        <v>n.a.</v>
      </c>
      <c r="AG62" s="38" t="str">
        <f>VLOOKUP(Table3[[#This Row],[Marker Name / Summenformel]],PhysChem_Table[],20,FALSE)</f>
        <v>n.a.</v>
      </c>
      <c r="AH62" s="38" t="str">
        <f>VLOOKUP(Table3[[#This Row],[Marker Name / Summenformel]],PhysChem_Table[],21,FALSE)</f>
        <v>n.a.</v>
      </c>
      <c r="AI62" s="38" t="str">
        <f>VLOOKUP(Table3[[#This Row],[Marker Name / Summenformel]],PhysChem_Table[],22,FALSE)</f>
        <v>n.a.</v>
      </c>
      <c r="AJ62" s="38" t="str">
        <f>VLOOKUP(Table3[[#This Row],[Marker Name / Summenformel]],PhysChem_Table[],23,FALSE)</f>
        <v>n.a.</v>
      </c>
      <c r="AK62" s="38" t="str">
        <f>VLOOKUP(Table3[[#This Row],[Marker Name / Summenformel]],PhysChem_Table[],24,FALSE)</f>
        <v>n.a.</v>
      </c>
      <c r="AL62" s="38" t="str">
        <f>VLOOKUP(Table3[[#This Row],[Marker Name / Summenformel]],PhysChem_Table[],25,FALSE)</f>
        <v>n.a.</v>
      </c>
      <c r="AM62" s="38" t="str">
        <f>VLOOKUP(Table3[[#This Row],[Marker Name / Summenformel]],PhysChem_Table[],26,FALSE)</f>
        <v>n.a.</v>
      </c>
      <c r="AN62" s="38" t="str">
        <f>VLOOKUP(Table3[[#This Row],[Marker Name / Summenformel]],PhysChem_Table[],27,FALSE)</f>
        <v>n.a.</v>
      </c>
      <c r="AO62" s="38" t="str">
        <f>VLOOKUP(Table3[[#This Row],[Marker Name / Summenformel]],PhysChem_Table[],28,FALSE)</f>
        <v>n.a.</v>
      </c>
      <c r="AP62" s="38" t="str">
        <f>VLOOKUP(Table3[[#This Row],[Marker Name / Summenformel]],PhysChem_Table[],29,FALSE)</f>
        <v>n.a.</v>
      </c>
      <c r="AQ62" s="38" t="str">
        <f>VLOOKUP(Table3[[#This Row],[Marker Name / Summenformel]],PhysChem_Table[],30,FALSE)</f>
        <v>n.a.</v>
      </c>
      <c r="AR62" s="38" t="str">
        <f>VLOOKUP(Table3[[#This Row],[Marker Name / Summenformel]],PhysChem_Table[],31,FALSE)</f>
        <v>n.a.</v>
      </c>
      <c r="AS62" s="38" t="str">
        <f>VLOOKUP(Table3[[#This Row],[Marker Name / Summenformel]],PhysChem_Table[],32,FALSE)</f>
        <v>n.a.</v>
      </c>
      <c r="AT62" s="38" t="str">
        <f>VLOOKUP(Table3[[#This Row],[Marker Name / Summenformel]],PhysChem_Table[],33,FALSE)</f>
        <v>n.a.</v>
      </c>
      <c r="AU62" s="38" t="str">
        <f>VLOOKUP(Table3[[#This Row],[Marker Name / Summenformel]],PhysChem_Table[],34,FALSE)</f>
        <v>n.a.</v>
      </c>
      <c r="AV62" s="10">
        <f>VLOOKUP(Table3[[#This Row],[Marker Name / Summenformel]],PhysChem_Table[],35,FALSE)</f>
        <v>0</v>
      </c>
    </row>
    <row r="63" spans="1:48" x14ac:dyDescent="0.3">
      <c r="A63" s="10" t="s">
        <v>452</v>
      </c>
      <c r="B63" s="38" t="str">
        <f>VLOOKUP(Table3[[#This Row],[Marker Name / Summenformel]],BaseInfos_Table[],2,FALSE)</f>
        <v>modified acridone</v>
      </c>
      <c r="C63" s="38" t="str">
        <f>VLOOKUP(Table3[[#This Row],[Marker Name / Summenformel]],BaseInfos_Table[],3,FALSE)</f>
        <v>n.a.</v>
      </c>
      <c r="D63" s="38" t="str">
        <f>VLOOKUP(Table3[[#This Row],[Marker Name / Summenformel]],BaseInfos_Table[],4,FALSE)</f>
        <v>n.a.</v>
      </c>
      <c r="E63" s="38" t="str">
        <f>VLOOKUP(Table3[[#This Row],[Marker Name / Summenformel]],BaseInfos_Table[],5,FALSE)</f>
        <v>Smith et al., 2004 / Journal of Fluorescence</v>
      </c>
      <c r="F63" s="38" t="str">
        <f>VLOOKUP(Table3[[#This Row],[Marker Name / Summenformel]],BaseInfos_Table[],6,FALSE)</f>
        <v>UV-Vis</v>
      </c>
      <c r="G63" s="38" t="str">
        <f>VLOOKUP(Table3[[#This Row],[Marker Name / Summenformel]],BaseInfos_Table[],7,FALSE)</f>
        <v>N</v>
      </c>
      <c r="H63" s="38" t="str">
        <f>VLOOKUP(Table3[[#This Row],[Marker Name / Summenformel]],BaseInfos_Table[],8,FALSE)</f>
        <v>n.a.</v>
      </c>
      <c r="I63" s="38" t="str">
        <f>VLOOKUP(Table3[[#This Row],[Marker Name / Summenformel]],BaseInfos_Table[],9,FALSE)</f>
        <v>n.a.</v>
      </c>
      <c r="J63" s="38" t="str">
        <f>VLOOKUP(Table3[[#This Row],[Marker Name / Summenformel]],BaseInfos_Table[],10,FALSE)</f>
        <v>n.a.</v>
      </c>
      <c r="K63" s="38">
        <f>VLOOKUP(Table3[[#This Row],[Marker Name / Summenformel]],BaseInfos_Table[],11,FALSE)</f>
        <v>0</v>
      </c>
      <c r="L63" s="10" t="str">
        <f>VLOOKUP(Table3[[#This Row],[Marker Name / Summenformel]],GHS_Table[#All],3,FALSE)</f>
        <v>n.a.</v>
      </c>
      <c r="M63" s="10" t="str">
        <f>VLOOKUP(Table3[[#This Row],[Marker Name / Summenformel]],GHS_Table[#All],4,FALSE)</f>
        <v>n.a.</v>
      </c>
      <c r="N63" s="10" t="str">
        <f>VLOOKUP(Table3[[#This Row],[Marker Name / Summenformel]],GHS_Table[#All],5,FALSE)</f>
        <v>n.a.</v>
      </c>
      <c r="O63" s="10" t="str">
        <f>VLOOKUP(Table3[[#This Row],[Marker Name / Summenformel]],GHS_Table[#All],6,FALSE)</f>
        <v>n.a.</v>
      </c>
      <c r="P63" s="38" t="str">
        <f>VLOOKUP(Table3[[#This Row],[Marker Name / Summenformel]],PhysChem_Table[],3,FALSE)</f>
        <v>n.a.</v>
      </c>
      <c r="Q63" s="38" t="str">
        <f>VLOOKUP(Table3[[#This Row],[Marker Name / Summenformel]],PhysChem_Table[],4,FALSE)</f>
        <v>n.a.</v>
      </c>
      <c r="R63" s="38" t="str">
        <f>VLOOKUP(Table3[[#This Row],[Marker Name / Summenformel]],PhysChem_Table[],5,FALSE)</f>
        <v>n.a.</v>
      </c>
      <c r="S63" s="38" t="str">
        <f>VLOOKUP(Table3[[#This Row],[Marker Name / Summenformel]],PhysChem_Table[],6,FALSE)</f>
        <v>n.a.</v>
      </c>
      <c r="T63" s="38" t="str">
        <f>VLOOKUP(Table3[[#This Row],[Marker Name / Summenformel]],PhysChem_Table[],7,FALSE)</f>
        <v>n.a.</v>
      </c>
      <c r="U63" s="38" t="str">
        <f>VLOOKUP(Table3[[#This Row],[Marker Name / Summenformel]],PhysChem_Table[],8,FALSE)</f>
        <v>n.a.</v>
      </c>
      <c r="V63" s="38" t="str">
        <f>VLOOKUP(Table3[[#This Row],[Marker Name / Summenformel]],PhysChem_Table[],9,FALSE)</f>
        <v>n.a.</v>
      </c>
      <c r="W63" s="38" t="str">
        <f>VLOOKUP(Table3[[#This Row],[Marker Name / Summenformel]],PhysChem_Table[],10,FALSE)</f>
        <v>n.a.</v>
      </c>
      <c r="X63" s="38" t="str">
        <f>VLOOKUP(Table3[[#This Row],[Marker Name / Summenformel]],PhysChem_Table[],11,FALSE)</f>
        <v>n.a.</v>
      </c>
      <c r="Y63" s="38" t="str">
        <f>VLOOKUP(Table3[[#This Row],[Marker Name / Summenformel]],PhysChem_Table[],12,FALSE)</f>
        <v>n.a.</v>
      </c>
      <c r="Z63" s="38" t="str">
        <f>VLOOKUP(Table3[[#This Row],[Marker Name / Summenformel]],PhysChem_Table[],13,FALSE)</f>
        <v>n.a.</v>
      </c>
      <c r="AA63" s="38" t="str">
        <f>VLOOKUP(Table3[[#This Row],[Marker Name / Summenformel]],PhysChem_Table[],14,FALSE)</f>
        <v>n.a.</v>
      </c>
      <c r="AB63" s="38" t="str">
        <f>VLOOKUP(Table3[[#This Row],[Marker Name / Summenformel]],PhysChem_Table[],15,FALSE)</f>
        <v>n.a.</v>
      </c>
      <c r="AC63" s="38" t="str">
        <f>VLOOKUP(Table3[[#This Row],[Marker Name / Summenformel]],PhysChem_Table[],16,FALSE)</f>
        <v>n.a.</v>
      </c>
      <c r="AD63" s="38" t="str">
        <f>VLOOKUP(Table3[[#This Row],[Marker Name / Summenformel]],PhysChem_Table[],17,FALSE)</f>
        <v>n.a.</v>
      </c>
      <c r="AE63" s="38" t="str">
        <f>VLOOKUP(Table3[[#This Row],[Marker Name / Summenformel]],PhysChem_Table[],18,FALSE)</f>
        <v>n.a.</v>
      </c>
      <c r="AF63" s="38" t="str">
        <f>VLOOKUP(Table3[[#This Row],[Marker Name / Summenformel]],PhysChem_Table[],19,FALSE)</f>
        <v>n.a.</v>
      </c>
      <c r="AG63" s="38" t="str">
        <f>VLOOKUP(Table3[[#This Row],[Marker Name / Summenformel]],PhysChem_Table[],20,FALSE)</f>
        <v>n.a.</v>
      </c>
      <c r="AH63" s="38" t="str">
        <f>VLOOKUP(Table3[[#This Row],[Marker Name / Summenformel]],PhysChem_Table[],21,FALSE)</f>
        <v>n.a.</v>
      </c>
      <c r="AI63" s="38" t="str">
        <f>VLOOKUP(Table3[[#This Row],[Marker Name / Summenformel]],PhysChem_Table[],22,FALSE)</f>
        <v>n.a.</v>
      </c>
      <c r="AJ63" s="38" t="str">
        <f>VLOOKUP(Table3[[#This Row],[Marker Name / Summenformel]],PhysChem_Table[],23,FALSE)</f>
        <v>n.a.</v>
      </c>
      <c r="AK63" s="38" t="str">
        <f>VLOOKUP(Table3[[#This Row],[Marker Name / Summenformel]],PhysChem_Table[],24,FALSE)</f>
        <v>n.a.</v>
      </c>
      <c r="AL63" s="38" t="str">
        <f>VLOOKUP(Table3[[#This Row],[Marker Name / Summenformel]],PhysChem_Table[],25,FALSE)</f>
        <v>n.a.</v>
      </c>
      <c r="AM63" s="38" t="str">
        <f>VLOOKUP(Table3[[#This Row],[Marker Name / Summenformel]],PhysChem_Table[],26,FALSE)</f>
        <v>n.a.</v>
      </c>
      <c r="AN63" s="38" t="str">
        <f>VLOOKUP(Table3[[#This Row],[Marker Name / Summenformel]],PhysChem_Table[],27,FALSE)</f>
        <v>n.a.</v>
      </c>
      <c r="AO63" s="38" t="str">
        <f>VLOOKUP(Table3[[#This Row],[Marker Name / Summenformel]],PhysChem_Table[],28,FALSE)</f>
        <v>n.a.</v>
      </c>
      <c r="AP63" s="38" t="str">
        <f>VLOOKUP(Table3[[#This Row],[Marker Name / Summenformel]],PhysChem_Table[],29,FALSE)</f>
        <v>n.a.</v>
      </c>
      <c r="AQ63" s="38" t="str">
        <f>VLOOKUP(Table3[[#This Row],[Marker Name / Summenformel]],PhysChem_Table[],30,FALSE)</f>
        <v>n.a.</v>
      </c>
      <c r="AR63" s="38" t="str">
        <f>VLOOKUP(Table3[[#This Row],[Marker Name / Summenformel]],PhysChem_Table[],31,FALSE)</f>
        <v>n.a.</v>
      </c>
      <c r="AS63" s="38" t="str">
        <f>VLOOKUP(Table3[[#This Row],[Marker Name / Summenformel]],PhysChem_Table[],32,FALSE)</f>
        <v>n.a.</v>
      </c>
      <c r="AT63" s="38" t="str">
        <f>VLOOKUP(Table3[[#This Row],[Marker Name / Summenformel]],PhysChem_Table[],33,FALSE)</f>
        <v>n.a.</v>
      </c>
      <c r="AU63" s="38" t="str">
        <f>VLOOKUP(Table3[[#This Row],[Marker Name / Summenformel]],PhysChem_Table[],34,FALSE)</f>
        <v>n.a.</v>
      </c>
      <c r="AV63" s="10">
        <f>VLOOKUP(Table3[[#This Row],[Marker Name / Summenformel]],PhysChem_Table[],35,FALSE)</f>
        <v>0</v>
      </c>
    </row>
    <row r="64" spans="1:48" x14ac:dyDescent="0.3">
      <c r="A64" s="10" t="s">
        <v>453</v>
      </c>
      <c r="B64" s="38" t="str">
        <f>VLOOKUP(Table3[[#This Row],[Marker Name / Summenformel]],BaseInfos_Table[],2,FALSE)</f>
        <v>modified acridone</v>
      </c>
      <c r="C64" s="38" t="str">
        <f>VLOOKUP(Table3[[#This Row],[Marker Name / Summenformel]],BaseInfos_Table[],3,FALSE)</f>
        <v>n.a.</v>
      </c>
      <c r="D64" s="38" t="str">
        <f>VLOOKUP(Table3[[#This Row],[Marker Name / Summenformel]],BaseInfos_Table[],4,FALSE)</f>
        <v>n.a.</v>
      </c>
      <c r="E64" s="38" t="str">
        <f>VLOOKUP(Table3[[#This Row],[Marker Name / Summenformel]],BaseInfos_Table[],5,FALSE)</f>
        <v>Smith et al., 2004 / Journal of Fluorescence</v>
      </c>
      <c r="F64" s="38" t="str">
        <f>VLOOKUP(Table3[[#This Row],[Marker Name / Summenformel]],BaseInfos_Table[],6,FALSE)</f>
        <v>UV-Vis</v>
      </c>
      <c r="G64" s="38" t="str">
        <f>VLOOKUP(Table3[[#This Row],[Marker Name / Summenformel]],BaseInfos_Table[],7,FALSE)</f>
        <v>N</v>
      </c>
      <c r="H64" s="38" t="str">
        <f>VLOOKUP(Table3[[#This Row],[Marker Name / Summenformel]],BaseInfos_Table[],8,FALSE)</f>
        <v>n.a.</v>
      </c>
      <c r="I64" s="38" t="str">
        <f>VLOOKUP(Table3[[#This Row],[Marker Name / Summenformel]],BaseInfos_Table[],9,FALSE)</f>
        <v>n.a.</v>
      </c>
      <c r="J64" s="38" t="str">
        <f>VLOOKUP(Table3[[#This Row],[Marker Name / Summenformel]],BaseInfos_Table[],10,FALSE)</f>
        <v>n.a.</v>
      </c>
      <c r="K64" s="38">
        <f>VLOOKUP(Table3[[#This Row],[Marker Name / Summenformel]],BaseInfos_Table[],11,FALSE)</f>
        <v>0</v>
      </c>
      <c r="L64" s="10" t="str">
        <f>VLOOKUP(Table3[[#This Row],[Marker Name / Summenformel]],GHS_Table[#All],3,FALSE)</f>
        <v>n.a.</v>
      </c>
      <c r="M64" s="10" t="str">
        <f>VLOOKUP(Table3[[#This Row],[Marker Name / Summenformel]],GHS_Table[#All],4,FALSE)</f>
        <v>n.a.</v>
      </c>
      <c r="N64" s="10" t="str">
        <f>VLOOKUP(Table3[[#This Row],[Marker Name / Summenformel]],GHS_Table[#All],5,FALSE)</f>
        <v>n.a.</v>
      </c>
      <c r="O64" s="10" t="str">
        <f>VLOOKUP(Table3[[#This Row],[Marker Name / Summenformel]],GHS_Table[#All],6,FALSE)</f>
        <v>n.a.</v>
      </c>
      <c r="P64" s="38" t="str">
        <f>VLOOKUP(Table3[[#This Row],[Marker Name / Summenformel]],PhysChem_Table[],3,FALSE)</f>
        <v>n.a.</v>
      </c>
      <c r="Q64" s="38" t="str">
        <f>VLOOKUP(Table3[[#This Row],[Marker Name / Summenformel]],PhysChem_Table[],4,FALSE)</f>
        <v>n.a.</v>
      </c>
      <c r="R64" s="38" t="str">
        <f>VLOOKUP(Table3[[#This Row],[Marker Name / Summenformel]],PhysChem_Table[],5,FALSE)</f>
        <v>n.a.</v>
      </c>
      <c r="S64" s="38" t="str">
        <f>VLOOKUP(Table3[[#This Row],[Marker Name / Summenformel]],PhysChem_Table[],6,FALSE)</f>
        <v>n.a.</v>
      </c>
      <c r="T64" s="38" t="str">
        <f>VLOOKUP(Table3[[#This Row],[Marker Name / Summenformel]],PhysChem_Table[],7,FALSE)</f>
        <v>n.a.</v>
      </c>
      <c r="U64" s="38" t="str">
        <f>VLOOKUP(Table3[[#This Row],[Marker Name / Summenformel]],PhysChem_Table[],8,FALSE)</f>
        <v>n.a.</v>
      </c>
      <c r="V64" s="38" t="str">
        <f>VLOOKUP(Table3[[#This Row],[Marker Name / Summenformel]],PhysChem_Table[],9,FALSE)</f>
        <v>n.a.</v>
      </c>
      <c r="W64" s="38" t="str">
        <f>VLOOKUP(Table3[[#This Row],[Marker Name / Summenformel]],PhysChem_Table[],10,FALSE)</f>
        <v>n.a.</v>
      </c>
      <c r="X64" s="38" t="str">
        <f>VLOOKUP(Table3[[#This Row],[Marker Name / Summenformel]],PhysChem_Table[],11,FALSE)</f>
        <v>n.a.</v>
      </c>
      <c r="Y64" s="38" t="str">
        <f>VLOOKUP(Table3[[#This Row],[Marker Name / Summenformel]],PhysChem_Table[],12,FALSE)</f>
        <v>n.a.</v>
      </c>
      <c r="Z64" s="38" t="str">
        <f>VLOOKUP(Table3[[#This Row],[Marker Name / Summenformel]],PhysChem_Table[],13,FALSE)</f>
        <v>n.a.</v>
      </c>
      <c r="AA64" s="38" t="str">
        <f>VLOOKUP(Table3[[#This Row],[Marker Name / Summenformel]],PhysChem_Table[],14,FALSE)</f>
        <v>n.a.</v>
      </c>
      <c r="AB64" s="38" t="str">
        <f>VLOOKUP(Table3[[#This Row],[Marker Name / Summenformel]],PhysChem_Table[],15,FALSE)</f>
        <v>n.a.</v>
      </c>
      <c r="AC64" s="38" t="str">
        <f>VLOOKUP(Table3[[#This Row],[Marker Name / Summenformel]],PhysChem_Table[],16,FALSE)</f>
        <v>n.a.</v>
      </c>
      <c r="AD64" s="38" t="str">
        <f>VLOOKUP(Table3[[#This Row],[Marker Name / Summenformel]],PhysChem_Table[],17,FALSE)</f>
        <v>n.a.</v>
      </c>
      <c r="AE64" s="38" t="str">
        <f>VLOOKUP(Table3[[#This Row],[Marker Name / Summenformel]],PhysChem_Table[],18,FALSE)</f>
        <v>n.a.</v>
      </c>
      <c r="AF64" s="38" t="str">
        <f>VLOOKUP(Table3[[#This Row],[Marker Name / Summenformel]],PhysChem_Table[],19,FALSE)</f>
        <v>n.a.</v>
      </c>
      <c r="AG64" s="38" t="str">
        <f>VLOOKUP(Table3[[#This Row],[Marker Name / Summenformel]],PhysChem_Table[],20,FALSE)</f>
        <v>n.a.</v>
      </c>
      <c r="AH64" s="38" t="str">
        <f>VLOOKUP(Table3[[#This Row],[Marker Name / Summenformel]],PhysChem_Table[],21,FALSE)</f>
        <v>n.a.</v>
      </c>
      <c r="AI64" s="38" t="str">
        <f>VLOOKUP(Table3[[#This Row],[Marker Name / Summenformel]],PhysChem_Table[],22,FALSE)</f>
        <v>n.a.</v>
      </c>
      <c r="AJ64" s="38" t="str">
        <f>VLOOKUP(Table3[[#This Row],[Marker Name / Summenformel]],PhysChem_Table[],23,FALSE)</f>
        <v>n.a.</v>
      </c>
      <c r="AK64" s="38" t="str">
        <f>VLOOKUP(Table3[[#This Row],[Marker Name / Summenformel]],PhysChem_Table[],24,FALSE)</f>
        <v>n.a.</v>
      </c>
      <c r="AL64" s="38" t="str">
        <f>VLOOKUP(Table3[[#This Row],[Marker Name / Summenformel]],PhysChem_Table[],25,FALSE)</f>
        <v>n.a.</v>
      </c>
      <c r="AM64" s="38" t="str">
        <f>VLOOKUP(Table3[[#This Row],[Marker Name / Summenformel]],PhysChem_Table[],26,FALSE)</f>
        <v>n.a.</v>
      </c>
      <c r="AN64" s="38" t="str">
        <f>VLOOKUP(Table3[[#This Row],[Marker Name / Summenformel]],PhysChem_Table[],27,FALSE)</f>
        <v>n.a.</v>
      </c>
      <c r="AO64" s="38" t="str">
        <f>VLOOKUP(Table3[[#This Row],[Marker Name / Summenformel]],PhysChem_Table[],28,FALSE)</f>
        <v>n.a.</v>
      </c>
      <c r="AP64" s="38" t="str">
        <f>VLOOKUP(Table3[[#This Row],[Marker Name / Summenformel]],PhysChem_Table[],29,FALSE)</f>
        <v>n.a.</v>
      </c>
      <c r="AQ64" s="38" t="str">
        <f>VLOOKUP(Table3[[#This Row],[Marker Name / Summenformel]],PhysChem_Table[],30,FALSE)</f>
        <v>n.a.</v>
      </c>
      <c r="AR64" s="38" t="str">
        <f>VLOOKUP(Table3[[#This Row],[Marker Name / Summenformel]],PhysChem_Table[],31,FALSE)</f>
        <v>n.a.</v>
      </c>
      <c r="AS64" s="38" t="str">
        <f>VLOOKUP(Table3[[#This Row],[Marker Name / Summenformel]],PhysChem_Table[],32,FALSE)</f>
        <v>n.a.</v>
      </c>
      <c r="AT64" s="38" t="str">
        <f>VLOOKUP(Table3[[#This Row],[Marker Name / Summenformel]],PhysChem_Table[],33,FALSE)</f>
        <v>n.a.</v>
      </c>
      <c r="AU64" s="38" t="str">
        <f>VLOOKUP(Table3[[#This Row],[Marker Name / Summenformel]],PhysChem_Table[],34,FALSE)</f>
        <v>n.a.</v>
      </c>
      <c r="AV64" s="10">
        <f>VLOOKUP(Table3[[#This Row],[Marker Name / Summenformel]],PhysChem_Table[],35,FALSE)</f>
        <v>0</v>
      </c>
    </row>
    <row r="65" spans="1:48" x14ac:dyDescent="0.3">
      <c r="A65" s="10" t="s">
        <v>454</v>
      </c>
      <c r="B65" s="38" t="str">
        <f>VLOOKUP(Table3[[#This Row],[Marker Name / Summenformel]],BaseInfos_Table[],2,FALSE)</f>
        <v>modified acridone</v>
      </c>
      <c r="C65" s="38" t="str">
        <f>VLOOKUP(Table3[[#This Row],[Marker Name / Summenformel]],BaseInfos_Table[],3,FALSE)</f>
        <v>n.a.</v>
      </c>
      <c r="D65" s="38" t="str">
        <f>VLOOKUP(Table3[[#This Row],[Marker Name / Summenformel]],BaseInfos_Table[],4,FALSE)</f>
        <v>n.a.</v>
      </c>
      <c r="E65" s="38" t="str">
        <f>VLOOKUP(Table3[[#This Row],[Marker Name / Summenformel]],BaseInfos_Table[],5,FALSE)</f>
        <v>Smith et al., 2004 / Journal of Fluorescence</v>
      </c>
      <c r="F65" s="38" t="str">
        <f>VLOOKUP(Table3[[#This Row],[Marker Name / Summenformel]],BaseInfos_Table[],6,FALSE)</f>
        <v>UV-Vis</v>
      </c>
      <c r="G65" s="38" t="str">
        <f>VLOOKUP(Table3[[#This Row],[Marker Name / Summenformel]],BaseInfos_Table[],7,FALSE)</f>
        <v>N</v>
      </c>
      <c r="H65" s="38" t="str">
        <f>VLOOKUP(Table3[[#This Row],[Marker Name / Summenformel]],BaseInfos_Table[],8,FALSE)</f>
        <v>n.a.</v>
      </c>
      <c r="I65" s="38" t="str">
        <f>VLOOKUP(Table3[[#This Row],[Marker Name / Summenformel]],BaseInfos_Table[],9,FALSE)</f>
        <v>n.a.</v>
      </c>
      <c r="J65" s="38" t="str">
        <f>VLOOKUP(Table3[[#This Row],[Marker Name / Summenformel]],BaseInfos_Table[],10,FALSE)</f>
        <v>n.a.</v>
      </c>
      <c r="K65" s="38">
        <f>VLOOKUP(Table3[[#This Row],[Marker Name / Summenformel]],BaseInfos_Table[],11,FALSE)</f>
        <v>0</v>
      </c>
      <c r="L65" s="10" t="str">
        <f>VLOOKUP(Table3[[#This Row],[Marker Name / Summenformel]],GHS_Table[#All],3,FALSE)</f>
        <v>n.a.</v>
      </c>
      <c r="M65" s="10" t="str">
        <f>VLOOKUP(Table3[[#This Row],[Marker Name / Summenformel]],GHS_Table[#All],4,FALSE)</f>
        <v>n.a.</v>
      </c>
      <c r="N65" s="10" t="str">
        <f>VLOOKUP(Table3[[#This Row],[Marker Name / Summenformel]],GHS_Table[#All],5,FALSE)</f>
        <v>n.a.</v>
      </c>
      <c r="O65" s="10" t="str">
        <f>VLOOKUP(Table3[[#This Row],[Marker Name / Summenformel]],GHS_Table[#All],6,FALSE)</f>
        <v>n.a.</v>
      </c>
      <c r="P65" s="38" t="str">
        <f>VLOOKUP(Table3[[#This Row],[Marker Name / Summenformel]],PhysChem_Table[],3,FALSE)</f>
        <v>n.a.</v>
      </c>
      <c r="Q65" s="38" t="str">
        <f>VLOOKUP(Table3[[#This Row],[Marker Name / Summenformel]],PhysChem_Table[],4,FALSE)</f>
        <v>n.a.</v>
      </c>
      <c r="R65" s="38" t="str">
        <f>VLOOKUP(Table3[[#This Row],[Marker Name / Summenformel]],PhysChem_Table[],5,FALSE)</f>
        <v>n.a.</v>
      </c>
      <c r="S65" s="38" t="str">
        <f>VLOOKUP(Table3[[#This Row],[Marker Name / Summenformel]],PhysChem_Table[],6,FALSE)</f>
        <v>n.a.</v>
      </c>
      <c r="T65" s="38" t="str">
        <f>VLOOKUP(Table3[[#This Row],[Marker Name / Summenformel]],PhysChem_Table[],7,FALSE)</f>
        <v>n.a.</v>
      </c>
      <c r="U65" s="38" t="str">
        <f>VLOOKUP(Table3[[#This Row],[Marker Name / Summenformel]],PhysChem_Table[],8,FALSE)</f>
        <v>n.a.</v>
      </c>
      <c r="V65" s="38" t="str">
        <f>VLOOKUP(Table3[[#This Row],[Marker Name / Summenformel]],PhysChem_Table[],9,FALSE)</f>
        <v>n.a.</v>
      </c>
      <c r="W65" s="38" t="str">
        <f>VLOOKUP(Table3[[#This Row],[Marker Name / Summenformel]],PhysChem_Table[],10,FALSE)</f>
        <v>n.a.</v>
      </c>
      <c r="X65" s="38" t="str">
        <f>VLOOKUP(Table3[[#This Row],[Marker Name / Summenformel]],PhysChem_Table[],11,FALSE)</f>
        <v>n.a.</v>
      </c>
      <c r="Y65" s="38" t="str">
        <f>VLOOKUP(Table3[[#This Row],[Marker Name / Summenformel]],PhysChem_Table[],12,FALSE)</f>
        <v>n.a.</v>
      </c>
      <c r="Z65" s="38" t="str">
        <f>VLOOKUP(Table3[[#This Row],[Marker Name / Summenformel]],PhysChem_Table[],13,FALSE)</f>
        <v>n.a.</v>
      </c>
      <c r="AA65" s="38" t="str">
        <f>VLOOKUP(Table3[[#This Row],[Marker Name / Summenformel]],PhysChem_Table[],14,FALSE)</f>
        <v>n.a.</v>
      </c>
      <c r="AB65" s="38" t="str">
        <f>VLOOKUP(Table3[[#This Row],[Marker Name / Summenformel]],PhysChem_Table[],15,FALSE)</f>
        <v>n.a.</v>
      </c>
      <c r="AC65" s="38" t="str">
        <f>VLOOKUP(Table3[[#This Row],[Marker Name / Summenformel]],PhysChem_Table[],16,FALSE)</f>
        <v>n.a.</v>
      </c>
      <c r="AD65" s="38" t="str">
        <f>VLOOKUP(Table3[[#This Row],[Marker Name / Summenformel]],PhysChem_Table[],17,FALSE)</f>
        <v>n.a.</v>
      </c>
      <c r="AE65" s="38" t="str">
        <f>VLOOKUP(Table3[[#This Row],[Marker Name / Summenformel]],PhysChem_Table[],18,FALSE)</f>
        <v>n.a.</v>
      </c>
      <c r="AF65" s="38" t="str">
        <f>VLOOKUP(Table3[[#This Row],[Marker Name / Summenformel]],PhysChem_Table[],19,FALSE)</f>
        <v>n.a.</v>
      </c>
      <c r="AG65" s="38" t="str">
        <f>VLOOKUP(Table3[[#This Row],[Marker Name / Summenformel]],PhysChem_Table[],20,FALSE)</f>
        <v>n.a.</v>
      </c>
      <c r="AH65" s="38" t="str">
        <f>VLOOKUP(Table3[[#This Row],[Marker Name / Summenformel]],PhysChem_Table[],21,FALSE)</f>
        <v>n.a.</v>
      </c>
      <c r="AI65" s="38" t="str">
        <f>VLOOKUP(Table3[[#This Row],[Marker Name / Summenformel]],PhysChem_Table[],22,FALSE)</f>
        <v>n.a.</v>
      </c>
      <c r="AJ65" s="38" t="str">
        <f>VLOOKUP(Table3[[#This Row],[Marker Name / Summenformel]],PhysChem_Table[],23,FALSE)</f>
        <v>n.a.</v>
      </c>
      <c r="AK65" s="38" t="str">
        <f>VLOOKUP(Table3[[#This Row],[Marker Name / Summenformel]],PhysChem_Table[],24,FALSE)</f>
        <v>n.a.</v>
      </c>
      <c r="AL65" s="38" t="str">
        <f>VLOOKUP(Table3[[#This Row],[Marker Name / Summenformel]],PhysChem_Table[],25,FALSE)</f>
        <v>n.a.</v>
      </c>
      <c r="AM65" s="38" t="str">
        <f>VLOOKUP(Table3[[#This Row],[Marker Name / Summenformel]],PhysChem_Table[],26,FALSE)</f>
        <v>n.a.</v>
      </c>
      <c r="AN65" s="38" t="str">
        <f>VLOOKUP(Table3[[#This Row],[Marker Name / Summenformel]],PhysChem_Table[],27,FALSE)</f>
        <v>n.a.</v>
      </c>
      <c r="AO65" s="38" t="str">
        <f>VLOOKUP(Table3[[#This Row],[Marker Name / Summenformel]],PhysChem_Table[],28,FALSE)</f>
        <v>n.a.</v>
      </c>
      <c r="AP65" s="38" t="str">
        <f>VLOOKUP(Table3[[#This Row],[Marker Name / Summenformel]],PhysChem_Table[],29,FALSE)</f>
        <v>n.a.</v>
      </c>
      <c r="AQ65" s="38" t="str">
        <f>VLOOKUP(Table3[[#This Row],[Marker Name / Summenformel]],PhysChem_Table[],30,FALSE)</f>
        <v>n.a.</v>
      </c>
      <c r="AR65" s="38" t="str">
        <f>VLOOKUP(Table3[[#This Row],[Marker Name / Summenformel]],PhysChem_Table[],31,FALSE)</f>
        <v>n.a.</v>
      </c>
      <c r="AS65" s="38" t="str">
        <f>VLOOKUP(Table3[[#This Row],[Marker Name / Summenformel]],PhysChem_Table[],32,FALSE)</f>
        <v>n.a.</v>
      </c>
      <c r="AT65" s="38" t="str">
        <f>VLOOKUP(Table3[[#This Row],[Marker Name / Summenformel]],PhysChem_Table[],33,FALSE)</f>
        <v>n.a.</v>
      </c>
      <c r="AU65" s="38" t="str">
        <f>VLOOKUP(Table3[[#This Row],[Marker Name / Summenformel]],PhysChem_Table[],34,FALSE)</f>
        <v>n.a.</v>
      </c>
      <c r="AV65" s="10">
        <f>VLOOKUP(Table3[[#This Row],[Marker Name / Summenformel]],PhysChem_Table[],35,FALSE)</f>
        <v>0</v>
      </c>
    </row>
    <row r="66" spans="1:48" x14ac:dyDescent="0.3">
      <c r="A66" s="10" t="s">
        <v>455</v>
      </c>
      <c r="B66" s="38" t="str">
        <f>VLOOKUP(Table3[[#This Row],[Marker Name / Summenformel]],BaseInfos_Table[],2,FALSE)</f>
        <v>modified acridone</v>
      </c>
      <c r="C66" s="38" t="str">
        <f>VLOOKUP(Table3[[#This Row],[Marker Name / Summenformel]],BaseInfos_Table[],3,FALSE)</f>
        <v>134272-64-3</v>
      </c>
      <c r="D66" s="38" t="str">
        <f>VLOOKUP(Table3[[#This Row],[Marker Name / Summenformel]],BaseInfos_Table[],4,FALSE)</f>
        <v>802-071-0</v>
      </c>
      <c r="E66" s="38" t="str">
        <f>VLOOKUP(Table3[[#This Row],[Marker Name / Summenformel]],BaseInfos_Table[],5,FALSE)</f>
        <v>Smith et al., 2004 / Journal of Fluorescence</v>
      </c>
      <c r="F66" s="38" t="str">
        <f>VLOOKUP(Table3[[#This Row],[Marker Name / Summenformel]],BaseInfos_Table[],6,FALSE)</f>
        <v>UV-Vis</v>
      </c>
      <c r="G66" s="38" t="str">
        <f>VLOOKUP(Table3[[#This Row],[Marker Name / Summenformel]],BaseInfos_Table[],7,FALSE)</f>
        <v>Y</v>
      </c>
      <c r="H66" s="38" t="str">
        <f>VLOOKUP(Table3[[#This Row],[Marker Name / Summenformel]],BaseInfos_Table[],8,FALSE)</f>
        <v>n.a.</v>
      </c>
      <c r="I66" s="38" t="str">
        <f>VLOOKUP(Table3[[#This Row],[Marker Name / Summenformel]],BaseInfos_Table[],9,FALSE)</f>
        <v>https://echa.europa.eu/de/substance-information/-/substanceinfo/100.228.829</v>
      </c>
      <c r="J66" s="38" t="str">
        <f>VLOOKUP(Table3[[#This Row],[Marker Name / Summenformel]],BaseInfos_Table[],10,FALSE)</f>
        <v>https://www.sigmaaldrich.com/AT/en/product/aldrich/809322</v>
      </c>
      <c r="K66" s="38">
        <f>VLOOKUP(Table3[[#This Row],[Marker Name / Summenformel]],BaseInfos_Table[],11,FALSE)</f>
        <v>0</v>
      </c>
      <c r="L66" s="10" t="str">
        <f>VLOOKUP(Table3[[#This Row],[Marker Name / Summenformel]],GHS_Table[#All],3,FALSE)</f>
        <v>CLP</v>
      </c>
      <c r="M66" s="10" t="str">
        <f>VLOOKUP(Table3[[#This Row],[Marker Name / Summenformel]],GHS_Table[#All],4,FALSE)</f>
        <v>n.a.</v>
      </c>
      <c r="N66" s="10">
        <f>VLOOKUP(Table3[[#This Row],[Marker Name / Summenformel]],GHS_Table[#All],5,FALSE)</f>
        <v>3</v>
      </c>
      <c r="O66" s="10" t="str">
        <f>VLOOKUP(Table3[[#This Row],[Marker Name / Summenformel]],GHS_Table[#All],6,FALSE)</f>
        <v>n.a.</v>
      </c>
      <c r="P66" s="38" t="str">
        <f>VLOOKUP(Table3[[#This Row],[Marker Name / Summenformel]],PhysChem_Table[],3,FALSE)</f>
        <v>solid: powder</v>
      </c>
      <c r="Q66" s="38" t="str">
        <f>VLOOKUP(Table3[[#This Row],[Marker Name / Summenformel]],PhysChem_Table[],4,FALSE)</f>
        <v>n.a.</v>
      </c>
      <c r="R66" s="38">
        <f>VLOOKUP(Table3[[#This Row],[Marker Name / Summenformel]],PhysChem_Table[],5,FALSE)</f>
        <v>163</v>
      </c>
      <c r="S66" s="38" t="str">
        <f>VLOOKUP(Table3[[#This Row],[Marker Name / Summenformel]],PhysChem_Table[],6,FALSE)</f>
        <v>n.s.</v>
      </c>
      <c r="T66" s="38">
        <f>VLOOKUP(Table3[[#This Row],[Marker Name / Summenformel]],PhysChem_Table[],7,FALSE)</f>
        <v>308.2</v>
      </c>
      <c r="U66" s="38" t="str">
        <f>VLOOKUP(Table3[[#This Row],[Marker Name / Summenformel]],PhysChem_Table[],8,FALSE)</f>
        <v>n.s.</v>
      </c>
      <c r="V66" s="38" t="str">
        <f>VLOOKUP(Table3[[#This Row],[Marker Name / Summenformel]],PhysChem_Table[],9,FALSE)</f>
        <v>n.a.</v>
      </c>
      <c r="W66" s="38" t="str">
        <f>VLOOKUP(Table3[[#This Row],[Marker Name / Summenformel]],PhysChem_Table[],10,FALSE)</f>
        <v>n.a.</v>
      </c>
      <c r="X66" s="38" t="str">
        <f>VLOOKUP(Table3[[#This Row],[Marker Name / Summenformel]],PhysChem_Table[],11,FALSE)</f>
        <v>n.a.</v>
      </c>
      <c r="Y66" s="38" t="str">
        <f>VLOOKUP(Table3[[#This Row],[Marker Name / Summenformel]],PhysChem_Table[],12,FALSE)</f>
        <v>n.a.</v>
      </c>
      <c r="Z66" s="38" t="str">
        <f>VLOOKUP(Table3[[#This Row],[Marker Name / Summenformel]],PhysChem_Table[],13,FALSE)</f>
        <v>n.a.</v>
      </c>
      <c r="AA66" s="38" t="str">
        <f>VLOOKUP(Table3[[#This Row],[Marker Name / Summenformel]],PhysChem_Table[],14,FALSE)</f>
        <v>n.a.</v>
      </c>
      <c r="AB66" s="38" t="str">
        <f>VLOOKUP(Table3[[#This Row],[Marker Name / Summenformel]],PhysChem_Table[],15,FALSE)</f>
        <v>n.a.</v>
      </c>
      <c r="AC66" s="38" t="str">
        <f>VLOOKUP(Table3[[#This Row],[Marker Name / Summenformel]],PhysChem_Table[],16,FALSE)</f>
        <v>n.a.</v>
      </c>
      <c r="AD66" s="38" t="str">
        <f>VLOOKUP(Table3[[#This Row],[Marker Name / Summenformel]],PhysChem_Table[],17,FALSE)</f>
        <v>n.a.</v>
      </c>
      <c r="AE66" s="38" t="str">
        <f>VLOOKUP(Table3[[#This Row],[Marker Name / Summenformel]],PhysChem_Table[],18,FALSE)</f>
        <v>n.a.</v>
      </c>
      <c r="AF66" s="38" t="str">
        <f>VLOOKUP(Table3[[#This Row],[Marker Name / Summenformel]],PhysChem_Table[],19,FALSE)</f>
        <v>n.a.</v>
      </c>
      <c r="AG66" s="38" t="str">
        <f>VLOOKUP(Table3[[#This Row],[Marker Name / Summenformel]],PhysChem_Table[],20,FALSE)</f>
        <v>n.a.</v>
      </c>
      <c r="AH66" s="38" t="str">
        <f>VLOOKUP(Table3[[#This Row],[Marker Name / Summenformel]],PhysChem_Table[],21,FALSE)</f>
        <v>n.a.</v>
      </c>
      <c r="AI66" s="38" t="str">
        <f>VLOOKUP(Table3[[#This Row],[Marker Name / Summenformel]],PhysChem_Table[],22,FALSE)</f>
        <v>n.a.</v>
      </c>
      <c r="AJ66" s="38" t="str">
        <f>VLOOKUP(Table3[[#This Row],[Marker Name / Summenformel]],PhysChem_Table[],23,FALSE)</f>
        <v>n.a.</v>
      </c>
      <c r="AK66" s="38" t="str">
        <f>VLOOKUP(Table3[[#This Row],[Marker Name / Summenformel]],PhysChem_Table[],24,FALSE)</f>
        <v>n.a.</v>
      </c>
      <c r="AL66" s="38" t="str">
        <f>VLOOKUP(Table3[[#This Row],[Marker Name / Summenformel]],PhysChem_Table[],25,FALSE)</f>
        <v>n.a.</v>
      </c>
      <c r="AM66" s="38" t="str">
        <f>VLOOKUP(Table3[[#This Row],[Marker Name / Summenformel]],PhysChem_Table[],26,FALSE)</f>
        <v>n.a.</v>
      </c>
      <c r="AN66" s="38" t="str">
        <f>VLOOKUP(Table3[[#This Row],[Marker Name / Summenformel]],PhysChem_Table[],27,FALSE)</f>
        <v>n.a.</v>
      </c>
      <c r="AO66" s="38" t="str">
        <f>VLOOKUP(Table3[[#This Row],[Marker Name / Summenformel]],PhysChem_Table[],28,FALSE)</f>
        <v>n.a.</v>
      </c>
      <c r="AP66" s="38" t="str">
        <f>VLOOKUP(Table3[[#This Row],[Marker Name / Summenformel]],PhysChem_Table[],29,FALSE)</f>
        <v>n.a.</v>
      </c>
      <c r="AQ66" s="38" t="str">
        <f>VLOOKUP(Table3[[#This Row],[Marker Name / Summenformel]],PhysChem_Table[],30,FALSE)</f>
        <v>n.a.</v>
      </c>
      <c r="AR66" s="38" t="str">
        <f>VLOOKUP(Table3[[#This Row],[Marker Name / Summenformel]],PhysChem_Table[],31,FALSE)</f>
        <v>n.a.</v>
      </c>
      <c r="AS66" s="38" t="str">
        <f>VLOOKUP(Table3[[#This Row],[Marker Name / Summenformel]],PhysChem_Table[],32,FALSE)</f>
        <v>n.a.</v>
      </c>
      <c r="AT66" s="38" t="str">
        <f>VLOOKUP(Table3[[#This Row],[Marker Name / Summenformel]],PhysChem_Table[],33,FALSE)</f>
        <v>n.a.</v>
      </c>
      <c r="AU66" s="38" t="str">
        <f>VLOOKUP(Table3[[#This Row],[Marker Name / Summenformel]],PhysChem_Table[],34,FALSE)</f>
        <v>http://www.chemspider.com/Chemical-Structure.13658385.html?rid=7b8ee9db-1853-416a-b6d3-fcbddaf6fc51</v>
      </c>
      <c r="AV66" s="10" t="str">
        <f>VLOOKUP(Table3[[#This Row],[Marker Name / Summenformel]],PhysChem_Table[],35,FALSE)</f>
        <v>https://www.sigmaaldrich.com/AT/en/sds/aldrich/809322</v>
      </c>
    </row>
    <row r="67" spans="1:48" x14ac:dyDescent="0.3">
      <c r="A67" s="10" t="s">
        <v>465</v>
      </c>
      <c r="B67" s="38" t="str">
        <f>VLOOKUP(Table3[[#This Row],[Marker Name / Summenformel]],BaseInfos_Table[],2,FALSE)</f>
        <v>modified quinacridone</v>
      </c>
      <c r="C67" s="38" t="str">
        <f>VLOOKUP(Table3[[#This Row],[Marker Name / Summenformel]],BaseInfos_Table[],3,FALSE)</f>
        <v>n.a.</v>
      </c>
      <c r="D67" s="38" t="str">
        <f>VLOOKUP(Table3[[#This Row],[Marker Name / Summenformel]],BaseInfos_Table[],4,FALSE)</f>
        <v>n.a.</v>
      </c>
      <c r="E67" s="38" t="str">
        <f>VLOOKUP(Table3[[#This Row],[Marker Name / Summenformel]],BaseInfos_Table[],5,FALSE)</f>
        <v>Smith et al., 2004 / Journal of Fluorescence</v>
      </c>
      <c r="F67" s="38" t="str">
        <f>VLOOKUP(Table3[[#This Row],[Marker Name / Summenformel]],BaseInfos_Table[],6,FALSE)</f>
        <v>UV-Vis</v>
      </c>
      <c r="G67" s="38" t="str">
        <f>VLOOKUP(Table3[[#This Row],[Marker Name / Summenformel]],BaseInfos_Table[],7,FALSE)</f>
        <v>N</v>
      </c>
      <c r="H67" s="38" t="str">
        <f>VLOOKUP(Table3[[#This Row],[Marker Name / Summenformel]],BaseInfos_Table[],8,FALSE)</f>
        <v>n.a.</v>
      </c>
      <c r="I67" s="38" t="str">
        <f>VLOOKUP(Table3[[#This Row],[Marker Name / Summenformel]],BaseInfos_Table[],9,FALSE)</f>
        <v>n.a.</v>
      </c>
      <c r="J67" s="38" t="str">
        <f>VLOOKUP(Table3[[#This Row],[Marker Name / Summenformel]],BaseInfos_Table[],10,FALSE)</f>
        <v>n.a.</v>
      </c>
      <c r="K67" s="38">
        <f>VLOOKUP(Table3[[#This Row],[Marker Name / Summenformel]],BaseInfos_Table[],11,FALSE)</f>
        <v>0</v>
      </c>
      <c r="L67" s="10" t="str">
        <f>VLOOKUP(Table3[[#This Row],[Marker Name / Summenformel]],GHS_Table[#All],3,FALSE)</f>
        <v>n.a.</v>
      </c>
      <c r="M67" s="10" t="str">
        <f>VLOOKUP(Table3[[#This Row],[Marker Name / Summenformel]],GHS_Table[#All],4,FALSE)</f>
        <v>n.a.</v>
      </c>
      <c r="N67" s="10" t="str">
        <f>VLOOKUP(Table3[[#This Row],[Marker Name / Summenformel]],GHS_Table[#All],5,FALSE)</f>
        <v>n.a.</v>
      </c>
      <c r="O67" s="10" t="str">
        <f>VLOOKUP(Table3[[#This Row],[Marker Name / Summenformel]],GHS_Table[#All],6,FALSE)</f>
        <v>n.a.</v>
      </c>
      <c r="P67" s="38" t="str">
        <f>VLOOKUP(Table3[[#This Row],[Marker Name / Summenformel]],PhysChem_Table[],3,FALSE)</f>
        <v>n.a.</v>
      </c>
      <c r="Q67" s="38" t="str">
        <f>VLOOKUP(Table3[[#This Row],[Marker Name / Summenformel]],PhysChem_Table[],4,FALSE)</f>
        <v>n.a.</v>
      </c>
      <c r="R67" s="38" t="str">
        <f>VLOOKUP(Table3[[#This Row],[Marker Name / Summenformel]],PhysChem_Table[],5,FALSE)</f>
        <v>n.a.</v>
      </c>
      <c r="S67" s="38" t="str">
        <f>VLOOKUP(Table3[[#This Row],[Marker Name / Summenformel]],PhysChem_Table[],6,FALSE)</f>
        <v>n.a.</v>
      </c>
      <c r="T67" s="38" t="str">
        <f>VLOOKUP(Table3[[#This Row],[Marker Name / Summenformel]],PhysChem_Table[],7,FALSE)</f>
        <v>n.a.</v>
      </c>
      <c r="U67" s="38" t="str">
        <f>VLOOKUP(Table3[[#This Row],[Marker Name / Summenformel]],PhysChem_Table[],8,FALSE)</f>
        <v>n.a.</v>
      </c>
      <c r="V67" s="38" t="str">
        <f>VLOOKUP(Table3[[#This Row],[Marker Name / Summenformel]],PhysChem_Table[],9,FALSE)</f>
        <v>n.a.</v>
      </c>
      <c r="W67" s="38" t="str">
        <f>VLOOKUP(Table3[[#This Row],[Marker Name / Summenformel]],PhysChem_Table[],10,FALSE)</f>
        <v>n.a.</v>
      </c>
      <c r="X67" s="38" t="str">
        <f>VLOOKUP(Table3[[#This Row],[Marker Name / Summenformel]],PhysChem_Table[],11,FALSE)</f>
        <v>n.a.</v>
      </c>
      <c r="Y67" s="38" t="str">
        <f>VLOOKUP(Table3[[#This Row],[Marker Name / Summenformel]],PhysChem_Table[],12,FALSE)</f>
        <v>n.a.</v>
      </c>
      <c r="Z67" s="38" t="str">
        <f>VLOOKUP(Table3[[#This Row],[Marker Name / Summenformel]],PhysChem_Table[],13,FALSE)</f>
        <v>n.a.</v>
      </c>
      <c r="AA67" s="38" t="str">
        <f>VLOOKUP(Table3[[#This Row],[Marker Name / Summenformel]],PhysChem_Table[],14,FALSE)</f>
        <v>n.a.</v>
      </c>
      <c r="AB67" s="38" t="str">
        <f>VLOOKUP(Table3[[#This Row],[Marker Name / Summenformel]],PhysChem_Table[],15,FALSE)</f>
        <v>n.a.</v>
      </c>
      <c r="AC67" s="38" t="str">
        <f>VLOOKUP(Table3[[#This Row],[Marker Name / Summenformel]],PhysChem_Table[],16,FALSE)</f>
        <v>n.a.</v>
      </c>
      <c r="AD67" s="38" t="str">
        <f>VLOOKUP(Table3[[#This Row],[Marker Name / Summenformel]],PhysChem_Table[],17,FALSE)</f>
        <v>n.a.</v>
      </c>
      <c r="AE67" s="38" t="str">
        <f>VLOOKUP(Table3[[#This Row],[Marker Name / Summenformel]],PhysChem_Table[],18,FALSE)</f>
        <v>n.a.</v>
      </c>
      <c r="AF67" s="38" t="str">
        <f>VLOOKUP(Table3[[#This Row],[Marker Name / Summenformel]],PhysChem_Table[],19,FALSE)</f>
        <v>n.a.</v>
      </c>
      <c r="AG67" s="38" t="str">
        <f>VLOOKUP(Table3[[#This Row],[Marker Name / Summenformel]],PhysChem_Table[],20,FALSE)</f>
        <v>n.a.</v>
      </c>
      <c r="AH67" s="38" t="str">
        <f>VLOOKUP(Table3[[#This Row],[Marker Name / Summenformel]],PhysChem_Table[],21,FALSE)</f>
        <v>n.a.</v>
      </c>
      <c r="AI67" s="38" t="str">
        <f>VLOOKUP(Table3[[#This Row],[Marker Name / Summenformel]],PhysChem_Table[],22,FALSE)</f>
        <v>n.a.</v>
      </c>
      <c r="AJ67" s="38" t="str">
        <f>VLOOKUP(Table3[[#This Row],[Marker Name / Summenformel]],PhysChem_Table[],23,FALSE)</f>
        <v>n.a.</v>
      </c>
      <c r="AK67" s="38" t="str">
        <f>VLOOKUP(Table3[[#This Row],[Marker Name / Summenformel]],PhysChem_Table[],24,FALSE)</f>
        <v>n.a.</v>
      </c>
      <c r="AL67" s="38" t="str">
        <f>VLOOKUP(Table3[[#This Row],[Marker Name / Summenformel]],PhysChem_Table[],25,FALSE)</f>
        <v>n.a.</v>
      </c>
      <c r="AM67" s="38" t="str">
        <f>VLOOKUP(Table3[[#This Row],[Marker Name / Summenformel]],PhysChem_Table[],26,FALSE)</f>
        <v>n.a.</v>
      </c>
      <c r="AN67" s="38" t="str">
        <f>VLOOKUP(Table3[[#This Row],[Marker Name / Summenformel]],PhysChem_Table[],27,FALSE)</f>
        <v>n.a.</v>
      </c>
      <c r="AO67" s="38" t="str">
        <f>VLOOKUP(Table3[[#This Row],[Marker Name / Summenformel]],PhysChem_Table[],28,FALSE)</f>
        <v>n.a.</v>
      </c>
      <c r="AP67" s="38" t="str">
        <f>VLOOKUP(Table3[[#This Row],[Marker Name / Summenformel]],PhysChem_Table[],29,FALSE)</f>
        <v>n.a.</v>
      </c>
      <c r="AQ67" s="38" t="str">
        <f>VLOOKUP(Table3[[#This Row],[Marker Name / Summenformel]],PhysChem_Table[],30,FALSE)</f>
        <v>n.a.</v>
      </c>
      <c r="AR67" s="38" t="str">
        <f>VLOOKUP(Table3[[#This Row],[Marker Name / Summenformel]],PhysChem_Table[],31,FALSE)</f>
        <v>n.a.</v>
      </c>
      <c r="AS67" s="38" t="str">
        <f>VLOOKUP(Table3[[#This Row],[Marker Name / Summenformel]],PhysChem_Table[],32,FALSE)</f>
        <v>n.a.</v>
      </c>
      <c r="AT67" s="38" t="str">
        <f>VLOOKUP(Table3[[#This Row],[Marker Name / Summenformel]],PhysChem_Table[],33,FALSE)</f>
        <v>n.a.</v>
      </c>
      <c r="AU67" s="38" t="str">
        <f>VLOOKUP(Table3[[#This Row],[Marker Name / Summenformel]],PhysChem_Table[],34,FALSE)</f>
        <v>n.a.</v>
      </c>
      <c r="AV67" s="10">
        <f>VLOOKUP(Table3[[#This Row],[Marker Name / Summenformel]],PhysChem_Table[],35,FALSE)</f>
        <v>0</v>
      </c>
    </row>
    <row r="68" spans="1:48" x14ac:dyDescent="0.3">
      <c r="A68" s="10" t="s">
        <v>466</v>
      </c>
      <c r="B68" s="38" t="str">
        <f>VLOOKUP(Table3[[#This Row],[Marker Name / Summenformel]],BaseInfos_Table[],2,FALSE)</f>
        <v>modified quinacridone</v>
      </c>
      <c r="C68" s="38" t="str">
        <f>VLOOKUP(Table3[[#This Row],[Marker Name / Summenformel]],BaseInfos_Table[],3,FALSE)</f>
        <v>n.a.</v>
      </c>
      <c r="D68" s="38" t="str">
        <f>VLOOKUP(Table3[[#This Row],[Marker Name / Summenformel]],BaseInfos_Table[],4,FALSE)</f>
        <v>n.a.</v>
      </c>
      <c r="E68" s="38" t="str">
        <f>VLOOKUP(Table3[[#This Row],[Marker Name / Summenformel]],BaseInfos_Table[],5,FALSE)</f>
        <v>Smith et al., 2004 / Journal of Fluorescence</v>
      </c>
      <c r="F68" s="38" t="str">
        <f>VLOOKUP(Table3[[#This Row],[Marker Name / Summenformel]],BaseInfos_Table[],6,FALSE)</f>
        <v>UV-Vis</v>
      </c>
      <c r="G68" s="38" t="str">
        <f>VLOOKUP(Table3[[#This Row],[Marker Name / Summenformel]],BaseInfos_Table[],7,FALSE)</f>
        <v>N</v>
      </c>
      <c r="H68" s="38" t="str">
        <f>VLOOKUP(Table3[[#This Row],[Marker Name / Summenformel]],BaseInfos_Table[],8,FALSE)</f>
        <v>n.a.</v>
      </c>
      <c r="I68" s="38" t="str">
        <f>VLOOKUP(Table3[[#This Row],[Marker Name / Summenformel]],BaseInfos_Table[],9,FALSE)</f>
        <v>n.a.</v>
      </c>
      <c r="J68" s="38" t="str">
        <f>VLOOKUP(Table3[[#This Row],[Marker Name / Summenformel]],BaseInfos_Table[],10,FALSE)</f>
        <v>n.a.</v>
      </c>
      <c r="K68" s="38">
        <f>VLOOKUP(Table3[[#This Row],[Marker Name / Summenformel]],BaseInfos_Table[],11,FALSE)</f>
        <v>0</v>
      </c>
      <c r="L68" s="10" t="str">
        <f>VLOOKUP(Table3[[#This Row],[Marker Name / Summenformel]],GHS_Table[#All],3,FALSE)</f>
        <v>n.a.</v>
      </c>
      <c r="M68" s="10" t="str">
        <f>VLOOKUP(Table3[[#This Row],[Marker Name / Summenformel]],GHS_Table[#All],4,FALSE)</f>
        <v>n.a.</v>
      </c>
      <c r="N68" s="10" t="str">
        <f>VLOOKUP(Table3[[#This Row],[Marker Name / Summenformel]],GHS_Table[#All],5,FALSE)</f>
        <v>n.a.</v>
      </c>
      <c r="O68" s="10" t="str">
        <f>VLOOKUP(Table3[[#This Row],[Marker Name / Summenformel]],GHS_Table[#All],6,FALSE)</f>
        <v>n.a.</v>
      </c>
      <c r="P68" s="38" t="str">
        <f>VLOOKUP(Table3[[#This Row],[Marker Name / Summenformel]],PhysChem_Table[],3,FALSE)</f>
        <v>n.a.</v>
      </c>
      <c r="Q68" s="38" t="str">
        <f>VLOOKUP(Table3[[#This Row],[Marker Name / Summenformel]],PhysChem_Table[],4,FALSE)</f>
        <v>n.a.</v>
      </c>
      <c r="R68" s="38" t="str">
        <f>VLOOKUP(Table3[[#This Row],[Marker Name / Summenformel]],PhysChem_Table[],5,FALSE)</f>
        <v>n.a.</v>
      </c>
      <c r="S68" s="38" t="str">
        <f>VLOOKUP(Table3[[#This Row],[Marker Name / Summenformel]],PhysChem_Table[],6,FALSE)</f>
        <v>n.a.</v>
      </c>
      <c r="T68" s="38" t="str">
        <f>VLOOKUP(Table3[[#This Row],[Marker Name / Summenformel]],PhysChem_Table[],7,FALSE)</f>
        <v>n.a.</v>
      </c>
      <c r="U68" s="38" t="str">
        <f>VLOOKUP(Table3[[#This Row],[Marker Name / Summenformel]],PhysChem_Table[],8,FALSE)</f>
        <v>n.a.</v>
      </c>
      <c r="V68" s="38" t="str">
        <f>VLOOKUP(Table3[[#This Row],[Marker Name / Summenformel]],PhysChem_Table[],9,FALSE)</f>
        <v>n.a.</v>
      </c>
      <c r="W68" s="38" t="str">
        <f>VLOOKUP(Table3[[#This Row],[Marker Name / Summenformel]],PhysChem_Table[],10,FALSE)</f>
        <v>n.a.</v>
      </c>
      <c r="X68" s="38" t="str">
        <f>VLOOKUP(Table3[[#This Row],[Marker Name / Summenformel]],PhysChem_Table[],11,FALSE)</f>
        <v>n.a.</v>
      </c>
      <c r="Y68" s="38" t="str">
        <f>VLOOKUP(Table3[[#This Row],[Marker Name / Summenformel]],PhysChem_Table[],12,FALSE)</f>
        <v>n.a.</v>
      </c>
      <c r="Z68" s="38" t="str">
        <f>VLOOKUP(Table3[[#This Row],[Marker Name / Summenformel]],PhysChem_Table[],13,FALSE)</f>
        <v>n.a.</v>
      </c>
      <c r="AA68" s="38" t="str">
        <f>VLOOKUP(Table3[[#This Row],[Marker Name / Summenformel]],PhysChem_Table[],14,FALSE)</f>
        <v>n.a.</v>
      </c>
      <c r="AB68" s="38" t="str">
        <f>VLOOKUP(Table3[[#This Row],[Marker Name / Summenformel]],PhysChem_Table[],15,FALSE)</f>
        <v>n.a.</v>
      </c>
      <c r="AC68" s="38" t="str">
        <f>VLOOKUP(Table3[[#This Row],[Marker Name / Summenformel]],PhysChem_Table[],16,FALSE)</f>
        <v>n.a.</v>
      </c>
      <c r="AD68" s="38" t="str">
        <f>VLOOKUP(Table3[[#This Row],[Marker Name / Summenformel]],PhysChem_Table[],17,FALSE)</f>
        <v>n.a.</v>
      </c>
      <c r="AE68" s="38" t="str">
        <f>VLOOKUP(Table3[[#This Row],[Marker Name / Summenformel]],PhysChem_Table[],18,FALSE)</f>
        <v>n.a.</v>
      </c>
      <c r="AF68" s="38" t="str">
        <f>VLOOKUP(Table3[[#This Row],[Marker Name / Summenformel]],PhysChem_Table[],19,FALSE)</f>
        <v>n.a.</v>
      </c>
      <c r="AG68" s="38" t="str">
        <f>VLOOKUP(Table3[[#This Row],[Marker Name / Summenformel]],PhysChem_Table[],20,FALSE)</f>
        <v>n.a.</v>
      </c>
      <c r="AH68" s="38" t="str">
        <f>VLOOKUP(Table3[[#This Row],[Marker Name / Summenformel]],PhysChem_Table[],21,FALSE)</f>
        <v>n.a.</v>
      </c>
      <c r="AI68" s="38" t="str">
        <f>VLOOKUP(Table3[[#This Row],[Marker Name / Summenformel]],PhysChem_Table[],22,FALSE)</f>
        <v>n.a.</v>
      </c>
      <c r="AJ68" s="38" t="str">
        <f>VLOOKUP(Table3[[#This Row],[Marker Name / Summenformel]],PhysChem_Table[],23,FALSE)</f>
        <v>n.a.</v>
      </c>
      <c r="AK68" s="38" t="str">
        <f>VLOOKUP(Table3[[#This Row],[Marker Name / Summenformel]],PhysChem_Table[],24,FALSE)</f>
        <v>n.a.</v>
      </c>
      <c r="AL68" s="38" t="str">
        <f>VLOOKUP(Table3[[#This Row],[Marker Name / Summenformel]],PhysChem_Table[],25,FALSE)</f>
        <v>n.a.</v>
      </c>
      <c r="AM68" s="38" t="str">
        <f>VLOOKUP(Table3[[#This Row],[Marker Name / Summenformel]],PhysChem_Table[],26,FALSE)</f>
        <v>n.a.</v>
      </c>
      <c r="AN68" s="38" t="str">
        <f>VLOOKUP(Table3[[#This Row],[Marker Name / Summenformel]],PhysChem_Table[],27,FALSE)</f>
        <v>n.a.</v>
      </c>
      <c r="AO68" s="38" t="str">
        <f>VLOOKUP(Table3[[#This Row],[Marker Name / Summenformel]],PhysChem_Table[],28,FALSE)</f>
        <v>n.a.</v>
      </c>
      <c r="AP68" s="38" t="str">
        <f>VLOOKUP(Table3[[#This Row],[Marker Name / Summenformel]],PhysChem_Table[],29,FALSE)</f>
        <v>n.a.</v>
      </c>
      <c r="AQ68" s="38" t="str">
        <f>VLOOKUP(Table3[[#This Row],[Marker Name / Summenformel]],PhysChem_Table[],30,FALSE)</f>
        <v>n.a.</v>
      </c>
      <c r="AR68" s="38" t="str">
        <f>VLOOKUP(Table3[[#This Row],[Marker Name / Summenformel]],PhysChem_Table[],31,FALSE)</f>
        <v>n.a.</v>
      </c>
      <c r="AS68" s="38" t="str">
        <f>VLOOKUP(Table3[[#This Row],[Marker Name / Summenformel]],PhysChem_Table[],32,FALSE)</f>
        <v>n.a.</v>
      </c>
      <c r="AT68" s="38" t="str">
        <f>VLOOKUP(Table3[[#This Row],[Marker Name / Summenformel]],PhysChem_Table[],33,FALSE)</f>
        <v>n.a.</v>
      </c>
      <c r="AU68" s="38" t="str">
        <f>VLOOKUP(Table3[[#This Row],[Marker Name / Summenformel]],PhysChem_Table[],34,FALSE)</f>
        <v>n.a.</v>
      </c>
      <c r="AV68" s="10">
        <f>VLOOKUP(Table3[[#This Row],[Marker Name / Summenformel]],PhysChem_Table[],35,FALSE)</f>
        <v>0</v>
      </c>
    </row>
    <row r="69" spans="1:48" x14ac:dyDescent="0.3">
      <c r="A69" s="10" t="s">
        <v>467</v>
      </c>
      <c r="B69" s="38" t="str">
        <f>VLOOKUP(Table3[[#This Row],[Marker Name / Summenformel]],BaseInfos_Table[],2,FALSE)</f>
        <v>modified quinacridone</v>
      </c>
      <c r="C69" s="38" t="str">
        <f>VLOOKUP(Table3[[#This Row],[Marker Name / Summenformel]],BaseInfos_Table[],3,FALSE)</f>
        <v>n.a.</v>
      </c>
      <c r="D69" s="38" t="str">
        <f>VLOOKUP(Table3[[#This Row],[Marker Name / Summenformel]],BaseInfos_Table[],4,FALSE)</f>
        <v>n.a.</v>
      </c>
      <c r="E69" s="38" t="str">
        <f>VLOOKUP(Table3[[#This Row],[Marker Name / Summenformel]],BaseInfos_Table[],5,FALSE)</f>
        <v>Smith et al., 2004 / Journal of Fluorescence</v>
      </c>
      <c r="F69" s="38" t="str">
        <f>VLOOKUP(Table3[[#This Row],[Marker Name / Summenformel]],BaseInfos_Table[],6,FALSE)</f>
        <v>UV-Vis</v>
      </c>
      <c r="G69" s="38" t="str">
        <f>VLOOKUP(Table3[[#This Row],[Marker Name / Summenformel]],BaseInfos_Table[],7,FALSE)</f>
        <v>N</v>
      </c>
      <c r="H69" s="38" t="str">
        <f>VLOOKUP(Table3[[#This Row],[Marker Name / Summenformel]],BaseInfos_Table[],8,FALSE)</f>
        <v>n.a.</v>
      </c>
      <c r="I69" s="38" t="str">
        <f>VLOOKUP(Table3[[#This Row],[Marker Name / Summenformel]],BaseInfos_Table[],9,FALSE)</f>
        <v>n.a.</v>
      </c>
      <c r="J69" s="38" t="str">
        <f>VLOOKUP(Table3[[#This Row],[Marker Name / Summenformel]],BaseInfos_Table[],10,FALSE)</f>
        <v>n.a.</v>
      </c>
      <c r="K69" s="38">
        <f>VLOOKUP(Table3[[#This Row],[Marker Name / Summenformel]],BaseInfos_Table[],11,FALSE)</f>
        <v>0</v>
      </c>
      <c r="L69" s="10" t="str">
        <f>VLOOKUP(Table3[[#This Row],[Marker Name / Summenformel]],GHS_Table[#All],3,FALSE)</f>
        <v>n.a.</v>
      </c>
      <c r="M69" s="10" t="str">
        <f>VLOOKUP(Table3[[#This Row],[Marker Name / Summenformel]],GHS_Table[#All],4,FALSE)</f>
        <v>n.a.</v>
      </c>
      <c r="N69" s="10" t="str">
        <f>VLOOKUP(Table3[[#This Row],[Marker Name / Summenformel]],GHS_Table[#All],5,FALSE)</f>
        <v>n.a.</v>
      </c>
      <c r="O69" s="10" t="str">
        <f>VLOOKUP(Table3[[#This Row],[Marker Name / Summenformel]],GHS_Table[#All],6,FALSE)</f>
        <v>n.a.</v>
      </c>
      <c r="P69" s="38" t="str">
        <f>VLOOKUP(Table3[[#This Row],[Marker Name / Summenformel]],PhysChem_Table[],3,FALSE)</f>
        <v>n.a.</v>
      </c>
      <c r="Q69" s="38" t="str">
        <f>VLOOKUP(Table3[[#This Row],[Marker Name / Summenformel]],PhysChem_Table[],4,FALSE)</f>
        <v>n.a.</v>
      </c>
      <c r="R69" s="38" t="str">
        <f>VLOOKUP(Table3[[#This Row],[Marker Name / Summenformel]],PhysChem_Table[],5,FALSE)</f>
        <v>n.a.</v>
      </c>
      <c r="S69" s="38" t="str">
        <f>VLOOKUP(Table3[[#This Row],[Marker Name / Summenformel]],PhysChem_Table[],6,FALSE)</f>
        <v>n.a.</v>
      </c>
      <c r="T69" s="38" t="str">
        <f>VLOOKUP(Table3[[#This Row],[Marker Name / Summenformel]],PhysChem_Table[],7,FALSE)</f>
        <v>n.a.</v>
      </c>
      <c r="U69" s="38" t="str">
        <f>VLOOKUP(Table3[[#This Row],[Marker Name / Summenformel]],PhysChem_Table[],8,FALSE)</f>
        <v>n.a.</v>
      </c>
      <c r="V69" s="38" t="str">
        <f>VLOOKUP(Table3[[#This Row],[Marker Name / Summenformel]],PhysChem_Table[],9,FALSE)</f>
        <v>n.a.</v>
      </c>
      <c r="W69" s="38" t="str">
        <f>VLOOKUP(Table3[[#This Row],[Marker Name / Summenformel]],PhysChem_Table[],10,FALSE)</f>
        <v>n.a.</v>
      </c>
      <c r="X69" s="38" t="str">
        <f>VLOOKUP(Table3[[#This Row],[Marker Name / Summenformel]],PhysChem_Table[],11,FALSE)</f>
        <v>n.a.</v>
      </c>
      <c r="Y69" s="38" t="str">
        <f>VLOOKUP(Table3[[#This Row],[Marker Name / Summenformel]],PhysChem_Table[],12,FALSE)</f>
        <v>n.a.</v>
      </c>
      <c r="Z69" s="38" t="str">
        <f>VLOOKUP(Table3[[#This Row],[Marker Name / Summenformel]],PhysChem_Table[],13,FALSE)</f>
        <v>n.a.</v>
      </c>
      <c r="AA69" s="38" t="str">
        <f>VLOOKUP(Table3[[#This Row],[Marker Name / Summenformel]],PhysChem_Table[],14,FALSE)</f>
        <v>n.a.</v>
      </c>
      <c r="AB69" s="38" t="str">
        <f>VLOOKUP(Table3[[#This Row],[Marker Name / Summenformel]],PhysChem_Table[],15,FALSE)</f>
        <v>n.a.</v>
      </c>
      <c r="AC69" s="38" t="str">
        <f>VLOOKUP(Table3[[#This Row],[Marker Name / Summenformel]],PhysChem_Table[],16,FALSE)</f>
        <v>n.a.</v>
      </c>
      <c r="AD69" s="38" t="str">
        <f>VLOOKUP(Table3[[#This Row],[Marker Name / Summenformel]],PhysChem_Table[],17,FALSE)</f>
        <v>n.a.</v>
      </c>
      <c r="AE69" s="38" t="str">
        <f>VLOOKUP(Table3[[#This Row],[Marker Name / Summenformel]],PhysChem_Table[],18,FALSE)</f>
        <v>n.a.</v>
      </c>
      <c r="AF69" s="38" t="str">
        <f>VLOOKUP(Table3[[#This Row],[Marker Name / Summenformel]],PhysChem_Table[],19,FALSE)</f>
        <v>n.a.</v>
      </c>
      <c r="AG69" s="38" t="str">
        <f>VLOOKUP(Table3[[#This Row],[Marker Name / Summenformel]],PhysChem_Table[],20,FALSE)</f>
        <v>n.a.</v>
      </c>
      <c r="AH69" s="38" t="str">
        <f>VLOOKUP(Table3[[#This Row],[Marker Name / Summenformel]],PhysChem_Table[],21,FALSE)</f>
        <v>n.a.</v>
      </c>
      <c r="AI69" s="38" t="str">
        <f>VLOOKUP(Table3[[#This Row],[Marker Name / Summenformel]],PhysChem_Table[],22,FALSE)</f>
        <v>n.a.</v>
      </c>
      <c r="AJ69" s="38" t="str">
        <f>VLOOKUP(Table3[[#This Row],[Marker Name / Summenformel]],PhysChem_Table[],23,FALSE)</f>
        <v>n.a.</v>
      </c>
      <c r="AK69" s="38" t="str">
        <f>VLOOKUP(Table3[[#This Row],[Marker Name / Summenformel]],PhysChem_Table[],24,FALSE)</f>
        <v>n.a.</v>
      </c>
      <c r="AL69" s="38" t="str">
        <f>VLOOKUP(Table3[[#This Row],[Marker Name / Summenformel]],PhysChem_Table[],25,FALSE)</f>
        <v>n.a.</v>
      </c>
      <c r="AM69" s="38" t="str">
        <f>VLOOKUP(Table3[[#This Row],[Marker Name / Summenformel]],PhysChem_Table[],26,FALSE)</f>
        <v>n.a.</v>
      </c>
      <c r="AN69" s="38" t="str">
        <f>VLOOKUP(Table3[[#This Row],[Marker Name / Summenformel]],PhysChem_Table[],27,FALSE)</f>
        <v>n.a.</v>
      </c>
      <c r="AO69" s="38" t="str">
        <f>VLOOKUP(Table3[[#This Row],[Marker Name / Summenformel]],PhysChem_Table[],28,FALSE)</f>
        <v>n.a.</v>
      </c>
      <c r="AP69" s="38" t="str">
        <f>VLOOKUP(Table3[[#This Row],[Marker Name / Summenformel]],PhysChem_Table[],29,FALSE)</f>
        <v>n.a.</v>
      </c>
      <c r="AQ69" s="38" t="str">
        <f>VLOOKUP(Table3[[#This Row],[Marker Name / Summenformel]],PhysChem_Table[],30,FALSE)</f>
        <v>n.a.</v>
      </c>
      <c r="AR69" s="38" t="str">
        <f>VLOOKUP(Table3[[#This Row],[Marker Name / Summenformel]],PhysChem_Table[],31,FALSE)</f>
        <v>n.a.</v>
      </c>
      <c r="AS69" s="38" t="str">
        <f>VLOOKUP(Table3[[#This Row],[Marker Name / Summenformel]],PhysChem_Table[],32,FALSE)</f>
        <v>n.a.</v>
      </c>
      <c r="AT69" s="38" t="str">
        <f>VLOOKUP(Table3[[#This Row],[Marker Name / Summenformel]],PhysChem_Table[],33,FALSE)</f>
        <v>n.a.</v>
      </c>
      <c r="AU69" s="38" t="str">
        <f>VLOOKUP(Table3[[#This Row],[Marker Name / Summenformel]],PhysChem_Table[],34,FALSE)</f>
        <v>n.a.</v>
      </c>
      <c r="AV69" s="10">
        <f>VLOOKUP(Table3[[#This Row],[Marker Name / Summenformel]],PhysChem_Table[],35,FALSE)</f>
        <v>0</v>
      </c>
    </row>
    <row r="70" spans="1:48" x14ac:dyDescent="0.3">
      <c r="A70" s="10" t="s">
        <v>468</v>
      </c>
      <c r="B70" s="38" t="str">
        <f>VLOOKUP(Table3[[#This Row],[Marker Name / Summenformel]],BaseInfos_Table[],2,FALSE)</f>
        <v>modified quinacridone</v>
      </c>
      <c r="C70" s="38" t="str">
        <f>VLOOKUP(Table3[[#This Row],[Marker Name / Summenformel]],BaseInfos_Table[],3,FALSE)</f>
        <v>n.a.</v>
      </c>
      <c r="D70" s="38" t="str">
        <f>VLOOKUP(Table3[[#This Row],[Marker Name / Summenformel]],BaseInfos_Table[],4,FALSE)</f>
        <v>n.a.</v>
      </c>
      <c r="E70" s="38" t="str">
        <f>VLOOKUP(Table3[[#This Row],[Marker Name / Summenformel]],BaseInfos_Table[],5,FALSE)</f>
        <v>Smith et al., 2004 / Journal of Fluorescence</v>
      </c>
      <c r="F70" s="38" t="str">
        <f>VLOOKUP(Table3[[#This Row],[Marker Name / Summenformel]],BaseInfos_Table[],6,FALSE)</f>
        <v>UV-Vis</v>
      </c>
      <c r="G70" s="38" t="str">
        <f>VLOOKUP(Table3[[#This Row],[Marker Name / Summenformel]],BaseInfos_Table[],7,FALSE)</f>
        <v>N</v>
      </c>
      <c r="H70" s="38" t="str">
        <f>VLOOKUP(Table3[[#This Row],[Marker Name / Summenformel]],BaseInfos_Table[],8,FALSE)</f>
        <v>n.a.</v>
      </c>
      <c r="I70" s="38" t="str">
        <f>VLOOKUP(Table3[[#This Row],[Marker Name / Summenformel]],BaseInfos_Table[],9,FALSE)</f>
        <v>n.a.</v>
      </c>
      <c r="J70" s="38" t="str">
        <f>VLOOKUP(Table3[[#This Row],[Marker Name / Summenformel]],BaseInfos_Table[],10,FALSE)</f>
        <v>n.a.</v>
      </c>
      <c r="K70" s="38">
        <f>VLOOKUP(Table3[[#This Row],[Marker Name / Summenformel]],BaseInfos_Table[],11,FALSE)</f>
        <v>0</v>
      </c>
      <c r="L70" s="10" t="str">
        <f>VLOOKUP(Table3[[#This Row],[Marker Name / Summenformel]],GHS_Table[#All],3,FALSE)</f>
        <v>n.a.</v>
      </c>
      <c r="M70" s="10" t="str">
        <f>VLOOKUP(Table3[[#This Row],[Marker Name / Summenformel]],GHS_Table[#All],4,FALSE)</f>
        <v>n.a.</v>
      </c>
      <c r="N70" s="10" t="str">
        <f>VLOOKUP(Table3[[#This Row],[Marker Name / Summenformel]],GHS_Table[#All],5,FALSE)</f>
        <v>n.a.</v>
      </c>
      <c r="O70" s="10" t="str">
        <f>VLOOKUP(Table3[[#This Row],[Marker Name / Summenformel]],GHS_Table[#All],6,FALSE)</f>
        <v>n.a.</v>
      </c>
      <c r="P70" s="38" t="str">
        <f>VLOOKUP(Table3[[#This Row],[Marker Name / Summenformel]],PhysChem_Table[],3,FALSE)</f>
        <v>n.a.</v>
      </c>
      <c r="Q70" s="38" t="str">
        <f>VLOOKUP(Table3[[#This Row],[Marker Name / Summenformel]],PhysChem_Table[],4,FALSE)</f>
        <v>n.a.</v>
      </c>
      <c r="R70" s="38" t="str">
        <f>VLOOKUP(Table3[[#This Row],[Marker Name / Summenformel]],PhysChem_Table[],5,FALSE)</f>
        <v>n.a.</v>
      </c>
      <c r="S70" s="38" t="str">
        <f>VLOOKUP(Table3[[#This Row],[Marker Name / Summenformel]],PhysChem_Table[],6,FALSE)</f>
        <v>n.a.</v>
      </c>
      <c r="T70" s="38" t="str">
        <f>VLOOKUP(Table3[[#This Row],[Marker Name / Summenformel]],PhysChem_Table[],7,FALSE)</f>
        <v>n.a.</v>
      </c>
      <c r="U70" s="38" t="str">
        <f>VLOOKUP(Table3[[#This Row],[Marker Name / Summenformel]],PhysChem_Table[],8,FALSE)</f>
        <v>n.a.</v>
      </c>
      <c r="V70" s="38" t="str">
        <f>VLOOKUP(Table3[[#This Row],[Marker Name / Summenformel]],PhysChem_Table[],9,FALSE)</f>
        <v>n.a.</v>
      </c>
      <c r="W70" s="38" t="str">
        <f>VLOOKUP(Table3[[#This Row],[Marker Name / Summenformel]],PhysChem_Table[],10,FALSE)</f>
        <v>n.a.</v>
      </c>
      <c r="X70" s="38" t="str">
        <f>VLOOKUP(Table3[[#This Row],[Marker Name / Summenformel]],PhysChem_Table[],11,FALSE)</f>
        <v>n.a.</v>
      </c>
      <c r="Y70" s="38" t="str">
        <f>VLOOKUP(Table3[[#This Row],[Marker Name / Summenformel]],PhysChem_Table[],12,FALSE)</f>
        <v>n.a.</v>
      </c>
      <c r="Z70" s="38" t="str">
        <f>VLOOKUP(Table3[[#This Row],[Marker Name / Summenformel]],PhysChem_Table[],13,FALSE)</f>
        <v>n.a.</v>
      </c>
      <c r="AA70" s="38" t="str">
        <f>VLOOKUP(Table3[[#This Row],[Marker Name / Summenformel]],PhysChem_Table[],14,FALSE)</f>
        <v>n.a.</v>
      </c>
      <c r="AB70" s="38" t="str">
        <f>VLOOKUP(Table3[[#This Row],[Marker Name / Summenformel]],PhysChem_Table[],15,FALSE)</f>
        <v>n.a.</v>
      </c>
      <c r="AC70" s="38" t="str">
        <f>VLOOKUP(Table3[[#This Row],[Marker Name / Summenformel]],PhysChem_Table[],16,FALSE)</f>
        <v>n.a.</v>
      </c>
      <c r="AD70" s="38" t="str">
        <f>VLOOKUP(Table3[[#This Row],[Marker Name / Summenformel]],PhysChem_Table[],17,FALSE)</f>
        <v>n.a.</v>
      </c>
      <c r="AE70" s="38" t="str">
        <f>VLOOKUP(Table3[[#This Row],[Marker Name / Summenformel]],PhysChem_Table[],18,FALSE)</f>
        <v>n.a.</v>
      </c>
      <c r="AF70" s="38" t="str">
        <f>VLOOKUP(Table3[[#This Row],[Marker Name / Summenformel]],PhysChem_Table[],19,FALSE)</f>
        <v>n.a.</v>
      </c>
      <c r="AG70" s="38" t="str">
        <f>VLOOKUP(Table3[[#This Row],[Marker Name / Summenformel]],PhysChem_Table[],20,FALSE)</f>
        <v>n.a.</v>
      </c>
      <c r="AH70" s="38" t="str">
        <f>VLOOKUP(Table3[[#This Row],[Marker Name / Summenformel]],PhysChem_Table[],21,FALSE)</f>
        <v>n.a.</v>
      </c>
      <c r="AI70" s="38" t="str">
        <f>VLOOKUP(Table3[[#This Row],[Marker Name / Summenformel]],PhysChem_Table[],22,FALSE)</f>
        <v>n.a.</v>
      </c>
      <c r="AJ70" s="38" t="str">
        <f>VLOOKUP(Table3[[#This Row],[Marker Name / Summenformel]],PhysChem_Table[],23,FALSE)</f>
        <v>n.a.</v>
      </c>
      <c r="AK70" s="38" t="str">
        <f>VLOOKUP(Table3[[#This Row],[Marker Name / Summenformel]],PhysChem_Table[],24,FALSE)</f>
        <v>n.a.</v>
      </c>
      <c r="AL70" s="38" t="str">
        <f>VLOOKUP(Table3[[#This Row],[Marker Name / Summenformel]],PhysChem_Table[],25,FALSE)</f>
        <v>n.a.</v>
      </c>
      <c r="AM70" s="38" t="str">
        <f>VLOOKUP(Table3[[#This Row],[Marker Name / Summenformel]],PhysChem_Table[],26,FALSE)</f>
        <v>n.a.</v>
      </c>
      <c r="AN70" s="38" t="str">
        <f>VLOOKUP(Table3[[#This Row],[Marker Name / Summenformel]],PhysChem_Table[],27,FALSE)</f>
        <v>n.a.</v>
      </c>
      <c r="AO70" s="38" t="str">
        <f>VLOOKUP(Table3[[#This Row],[Marker Name / Summenformel]],PhysChem_Table[],28,FALSE)</f>
        <v>n.a.</v>
      </c>
      <c r="AP70" s="38" t="str">
        <f>VLOOKUP(Table3[[#This Row],[Marker Name / Summenformel]],PhysChem_Table[],29,FALSE)</f>
        <v>n.a.</v>
      </c>
      <c r="AQ70" s="38" t="str">
        <f>VLOOKUP(Table3[[#This Row],[Marker Name / Summenformel]],PhysChem_Table[],30,FALSE)</f>
        <v>n.a.</v>
      </c>
      <c r="AR70" s="38" t="str">
        <f>VLOOKUP(Table3[[#This Row],[Marker Name / Summenformel]],PhysChem_Table[],31,FALSE)</f>
        <v>n.a.</v>
      </c>
      <c r="AS70" s="38" t="str">
        <f>VLOOKUP(Table3[[#This Row],[Marker Name / Summenformel]],PhysChem_Table[],32,FALSE)</f>
        <v>n.a.</v>
      </c>
      <c r="AT70" s="38" t="str">
        <f>VLOOKUP(Table3[[#This Row],[Marker Name / Summenformel]],PhysChem_Table[],33,FALSE)</f>
        <v>n.a.</v>
      </c>
      <c r="AU70" s="38" t="str">
        <f>VLOOKUP(Table3[[#This Row],[Marker Name / Summenformel]],PhysChem_Table[],34,FALSE)</f>
        <v>n.a.</v>
      </c>
      <c r="AV70" s="10">
        <f>VLOOKUP(Table3[[#This Row],[Marker Name / Summenformel]],PhysChem_Table[],35,FALSE)</f>
        <v>0</v>
      </c>
    </row>
    <row r="71" spans="1:48" ht="15.6" customHeight="1" x14ac:dyDescent="0.3">
      <c r="A71" s="10" t="s">
        <v>709</v>
      </c>
      <c r="B71" s="10" t="str">
        <f>VLOOKUP(Table3[[#This Row],[Marker Name / Summenformel]],BaseInfos_Table[],2,FALSE)</f>
        <v>modified rare earth oxid</v>
      </c>
      <c r="C71" s="10" t="str">
        <f>VLOOKUP(Table3[[#This Row],[Marker Name / Summenformel]],BaseInfos_Table[],3,FALSE)</f>
        <v>12027-88-2</v>
      </c>
      <c r="D71" s="10" t="str">
        <f>VLOOKUP(Table3[[#This Row],[Marker Name / Summenformel]],BaseInfos_Table[],4,FALSE)</f>
        <v>234-730-8</v>
      </c>
      <c r="E71" s="10" t="str">
        <f>VLOOKUP(Table3[[#This Row],[Marker Name / Summenformel]],BaseInfos_Table[],5,FALSE)</f>
        <v>Sahu et al., 2018 / Environmental Science &amp; Technology</v>
      </c>
      <c r="F71" s="10" t="str">
        <f>VLOOKUP(Table3[[#This Row],[Marker Name / Summenformel]],BaseInfos_Table[],6,FALSE)</f>
        <v>IR , XRF ,UV-Vis</v>
      </c>
      <c r="G71" s="10" t="str">
        <f>VLOOKUP(Table3[[#This Row],[Marker Name / Summenformel]],BaseInfos_Table[],7,FALSE)</f>
        <v>Y</v>
      </c>
      <c r="H71" s="10" t="str">
        <f>VLOOKUP(Table3[[#This Row],[Marker Name / Summenformel]],BaseInfos_Table[],8,FALSE)</f>
        <v>n.a.</v>
      </c>
      <c r="I71" s="10" t="str">
        <f>VLOOKUP(Table3[[#This Row],[Marker Name / Summenformel]],BaseInfos_Table[],9,FALSE)</f>
        <v>https://echa.europa.eu/de/substance-information/-/substanceinfo/100.031.560</v>
      </c>
      <c r="J71" s="10" t="str">
        <f>VLOOKUP(Table3[[#This Row],[Marker Name / Summenformel]],BaseInfos_Table[],10,FALSE)</f>
        <v>https://www.americanelements.com/yttrium-silicate-12027-88-2</v>
      </c>
      <c r="K71" s="10">
        <f>VLOOKUP(Table3[[#This Row],[Marker Name / Summenformel]],BaseInfos_Table[],11,FALSE)</f>
        <v>0</v>
      </c>
      <c r="L71" s="10" t="str">
        <f>VLOOKUP(Table3[[#This Row],[Marker Name / Summenformel]],GHS_Table[#All],3,FALSE)</f>
        <v>CLP</v>
      </c>
      <c r="M71" s="10" t="str">
        <f>VLOOKUP(Table3[[#This Row],[Marker Name / Summenformel]],GHS_Table[#All],4,FALSE)</f>
        <v>n.a.</v>
      </c>
      <c r="N71" s="10">
        <f>VLOOKUP(Table3[[#This Row],[Marker Name / Summenformel]],GHS_Table[#All],5,FALSE)</f>
        <v>0</v>
      </c>
      <c r="O71" s="10">
        <f>VLOOKUP(Table3[[#This Row],[Marker Name / Summenformel]],GHS_Table[#All],6,FALSE)</f>
        <v>2</v>
      </c>
      <c r="P71" s="10" t="str">
        <f>VLOOKUP(Table3[[#This Row],[Marker Name / Summenformel]],PhysChem_Table[],3,FALSE)</f>
        <v>solid: powder</v>
      </c>
      <c r="Q71" s="10" t="str">
        <f>VLOOKUP(Table3[[#This Row],[Marker Name / Summenformel]],PhysChem_Table[],4,FALSE)</f>
        <v>white</v>
      </c>
      <c r="R71" s="10">
        <f>VLOOKUP(Table3[[#This Row],[Marker Name / Summenformel]],PhysChem_Table[],5,FALSE)</f>
        <v>2000</v>
      </c>
      <c r="S71" s="10" t="str">
        <f>VLOOKUP(Table3[[#This Row],[Marker Name / Summenformel]],PhysChem_Table[],6,FALSE)</f>
        <v>n.s.</v>
      </c>
      <c r="T71" s="10" t="str">
        <f>VLOOKUP(Table3[[#This Row],[Marker Name / Summenformel]],PhysChem_Table[],7,FALSE)</f>
        <v>n.a.</v>
      </c>
      <c r="U71" s="10" t="str">
        <f>VLOOKUP(Table3[[#This Row],[Marker Name / Summenformel]],PhysChem_Table[],8,FALSE)</f>
        <v>n.a.</v>
      </c>
      <c r="V71" s="10">
        <f>VLOOKUP(Table3[[#This Row],[Marker Name / Summenformel]],PhysChem_Table[],9,FALSE)</f>
        <v>4.4400000000000004</v>
      </c>
      <c r="W71" s="10" t="str">
        <f>VLOOKUP(Table3[[#This Row],[Marker Name / Summenformel]],PhysChem_Table[],10,FALSE)</f>
        <v>n.s.</v>
      </c>
      <c r="X71" s="10" t="str">
        <f>VLOOKUP(Table3[[#This Row],[Marker Name / Summenformel]],PhysChem_Table[],11,FALSE)</f>
        <v>n.a.</v>
      </c>
      <c r="Y71" s="10" t="str">
        <f>VLOOKUP(Table3[[#This Row],[Marker Name / Summenformel]],PhysChem_Table[],12,FALSE)</f>
        <v>n.a.</v>
      </c>
      <c r="Z71" s="10" t="str">
        <f>VLOOKUP(Table3[[#This Row],[Marker Name / Summenformel]],PhysChem_Table[],13,FALSE)</f>
        <v>n.a.</v>
      </c>
      <c r="AA71" s="10" t="str">
        <f>VLOOKUP(Table3[[#This Row],[Marker Name / Summenformel]],PhysChem_Table[],14,FALSE)</f>
        <v>n.a.</v>
      </c>
      <c r="AB71" s="10" t="str">
        <f>VLOOKUP(Table3[[#This Row],[Marker Name / Summenformel]],PhysChem_Table[],15,FALSE)</f>
        <v>n.a.</v>
      </c>
      <c r="AC71" s="10" t="str">
        <f>VLOOKUP(Table3[[#This Row],[Marker Name / Summenformel]],PhysChem_Table[],16,FALSE)</f>
        <v>n.a.</v>
      </c>
      <c r="AD71" s="10" t="str">
        <f>VLOOKUP(Table3[[#This Row],[Marker Name / Summenformel]],PhysChem_Table[],17,FALSE)</f>
        <v>n.a.</v>
      </c>
      <c r="AE71" s="10" t="str">
        <f>VLOOKUP(Table3[[#This Row],[Marker Name / Summenformel]],PhysChem_Table[],18,FALSE)</f>
        <v>n.a.</v>
      </c>
      <c r="AF71" s="10" t="str">
        <f>VLOOKUP(Table3[[#This Row],[Marker Name / Summenformel]],PhysChem_Table[],19,FALSE)</f>
        <v>n.a.</v>
      </c>
      <c r="AG71" s="10" t="str">
        <f>VLOOKUP(Table3[[#This Row],[Marker Name / Summenformel]],PhysChem_Table[],20,FALSE)</f>
        <v>n.a.</v>
      </c>
      <c r="AH71" s="10" t="str">
        <f>VLOOKUP(Table3[[#This Row],[Marker Name / Summenformel]],PhysChem_Table[],21,FALSE)</f>
        <v>n.a.</v>
      </c>
      <c r="AI71" s="10" t="str">
        <f>VLOOKUP(Table3[[#This Row],[Marker Name / Summenformel]],PhysChem_Table[],22,FALSE)</f>
        <v>n.a.</v>
      </c>
      <c r="AJ71" s="10" t="str">
        <f>VLOOKUP(Table3[[#This Row],[Marker Name / Summenformel]],PhysChem_Table[],23,FALSE)</f>
        <v>n.a.</v>
      </c>
      <c r="AK71" s="10" t="str">
        <f>VLOOKUP(Table3[[#This Row],[Marker Name / Summenformel]],PhysChem_Table[],24,FALSE)</f>
        <v>n.a.</v>
      </c>
      <c r="AL71" s="10" t="str">
        <f>VLOOKUP(Table3[[#This Row],[Marker Name / Summenformel]],PhysChem_Table[],25,FALSE)</f>
        <v>n.a.</v>
      </c>
      <c r="AM71" s="10" t="str">
        <f>VLOOKUP(Table3[[#This Row],[Marker Name / Summenformel]],PhysChem_Table[],26,FALSE)</f>
        <v>n.a.</v>
      </c>
      <c r="AN71" s="10" t="str">
        <f>VLOOKUP(Table3[[#This Row],[Marker Name / Summenformel]],PhysChem_Table[],27,FALSE)</f>
        <v>n.a.</v>
      </c>
      <c r="AO71" s="10" t="str">
        <f>VLOOKUP(Table3[[#This Row],[Marker Name / Summenformel]],PhysChem_Table[],28,FALSE)</f>
        <v>n.a.</v>
      </c>
      <c r="AP71" s="10" t="str">
        <f>VLOOKUP(Table3[[#This Row],[Marker Name / Summenformel]],PhysChem_Table[],29,FALSE)</f>
        <v>n.a.</v>
      </c>
      <c r="AQ71" s="10" t="str">
        <f>VLOOKUP(Table3[[#This Row],[Marker Name / Summenformel]],PhysChem_Table[],30,FALSE)</f>
        <v>n.a.</v>
      </c>
      <c r="AR71" s="10" t="str">
        <f>VLOOKUP(Table3[[#This Row],[Marker Name / Summenformel]],PhysChem_Table[],31,FALSE)</f>
        <v>n.a.</v>
      </c>
      <c r="AS71" s="10" t="str">
        <f>VLOOKUP(Table3[[#This Row],[Marker Name / Summenformel]],PhysChem_Table[],32,FALSE)</f>
        <v>n.a.</v>
      </c>
      <c r="AT71" s="10" t="str">
        <f>VLOOKUP(Table3[[#This Row],[Marker Name / Summenformel]],PhysChem_Table[],33,FALSE)</f>
        <v>n.a.</v>
      </c>
      <c r="AU71" s="10" t="str">
        <f>VLOOKUP(Table3[[#This Row],[Marker Name / Summenformel]],PhysChem_Table[],34,FALSE)</f>
        <v>https://www.americanelements.com/yttrium-silicate-12027-88-2</v>
      </c>
      <c r="AV71" s="10">
        <f>VLOOKUP(Table3[[#This Row],[Marker Name / Summenformel]],PhysChem_Table[],35,FALSE)</f>
        <v>0</v>
      </c>
    </row>
    <row r="72" spans="1:48" ht="16.5" x14ac:dyDescent="0.3">
      <c r="A72" s="10" t="s">
        <v>710</v>
      </c>
      <c r="B72" s="38" t="str">
        <f>VLOOKUP(Table3[[#This Row],[Marker Name / Summenformel]],BaseInfos_Table[],2,FALSE)</f>
        <v>modified rare earth oxid</v>
      </c>
      <c r="C72" s="38" t="str">
        <f>VLOOKUP(Table3[[#This Row],[Marker Name / Summenformel]],BaseInfos_Table[],3,FALSE)</f>
        <v>n.a.</v>
      </c>
      <c r="D72" s="38" t="str">
        <f>VLOOKUP(Table3[[#This Row],[Marker Name / Summenformel]],BaseInfos_Table[],4,FALSE)</f>
        <v>n.a.</v>
      </c>
      <c r="E72" s="38" t="str">
        <f>VLOOKUP(Table3[[#This Row],[Marker Name / Summenformel]],BaseInfos_Table[],5,FALSE)</f>
        <v>Sahu et al., 2018 / Environmental Science &amp; Technology</v>
      </c>
      <c r="F72" s="38" t="str">
        <f>VLOOKUP(Table3[[#This Row],[Marker Name / Summenformel]],BaseInfos_Table[],6,FALSE)</f>
        <v>IR , XRF ,UV-Vis</v>
      </c>
      <c r="G72" s="38" t="str">
        <f>VLOOKUP(Table3[[#This Row],[Marker Name / Summenformel]],BaseInfos_Table[],7,FALSE)</f>
        <v>Y</v>
      </c>
      <c r="H72" s="38" t="str">
        <f>VLOOKUP(Table3[[#This Row],[Marker Name / Summenformel]],BaseInfos_Table[],8,FALSE)</f>
        <v>n.a.</v>
      </c>
      <c r="I72" s="38" t="str">
        <f>VLOOKUP(Table3[[#This Row],[Marker Name / Summenformel]],BaseInfos_Table[],9,FALSE)</f>
        <v>n.a.</v>
      </c>
      <c r="J72" s="38" t="str">
        <f>VLOOKUP(Table3[[#This Row],[Marker Name / Summenformel]],BaseInfos_Table[],10,FALSE)</f>
        <v>https://www.americanelements.com/yttrium-silicate-12027-88-2</v>
      </c>
      <c r="K72" s="38">
        <f>VLOOKUP(Table3[[#This Row],[Marker Name / Summenformel]],BaseInfos_Table[],11,FALSE)</f>
        <v>0</v>
      </c>
      <c r="L72" s="10" t="str">
        <f>VLOOKUP(Table3[[#This Row],[Marker Name / Summenformel]],GHS_Table[#All],3,FALSE)</f>
        <v>n.a.</v>
      </c>
      <c r="M72" s="10" t="str">
        <f>VLOOKUP(Table3[[#This Row],[Marker Name / Summenformel]],GHS_Table[#All],4,FALSE)</f>
        <v>n.a.</v>
      </c>
      <c r="N72" s="10" t="str">
        <f>VLOOKUP(Table3[[#This Row],[Marker Name / Summenformel]],GHS_Table[#All],5,FALSE)</f>
        <v>n.a.</v>
      </c>
      <c r="O72" s="10" t="str">
        <f>VLOOKUP(Table3[[#This Row],[Marker Name / Summenformel]],GHS_Table[#All],6,FALSE)</f>
        <v>n.a.</v>
      </c>
      <c r="P72" s="38" t="str">
        <f>VLOOKUP(Table3[[#This Row],[Marker Name / Summenformel]],PhysChem_Table[],3,FALSE)</f>
        <v>n.a.</v>
      </c>
      <c r="Q72" s="38" t="str">
        <f>VLOOKUP(Table3[[#This Row],[Marker Name / Summenformel]],PhysChem_Table[],4,FALSE)</f>
        <v>n.a.</v>
      </c>
      <c r="R72" s="38" t="str">
        <f>VLOOKUP(Table3[[#This Row],[Marker Name / Summenformel]],PhysChem_Table[],5,FALSE)</f>
        <v>n.a.</v>
      </c>
      <c r="S72" s="38" t="str">
        <f>VLOOKUP(Table3[[#This Row],[Marker Name / Summenformel]],PhysChem_Table[],6,FALSE)</f>
        <v>n.a.</v>
      </c>
      <c r="T72" s="38" t="str">
        <f>VLOOKUP(Table3[[#This Row],[Marker Name / Summenformel]],PhysChem_Table[],7,FALSE)</f>
        <v>n.a.</v>
      </c>
      <c r="U72" s="38" t="str">
        <f>VLOOKUP(Table3[[#This Row],[Marker Name / Summenformel]],PhysChem_Table[],8,FALSE)</f>
        <v>n.a.</v>
      </c>
      <c r="V72" s="38" t="str">
        <f>VLOOKUP(Table3[[#This Row],[Marker Name / Summenformel]],PhysChem_Table[],9,FALSE)</f>
        <v>n.a.</v>
      </c>
      <c r="W72" s="38" t="str">
        <f>VLOOKUP(Table3[[#This Row],[Marker Name / Summenformel]],PhysChem_Table[],10,FALSE)</f>
        <v>n.a.</v>
      </c>
      <c r="X72" s="38" t="str">
        <f>VLOOKUP(Table3[[#This Row],[Marker Name / Summenformel]],PhysChem_Table[],11,FALSE)</f>
        <v>n.a.</v>
      </c>
      <c r="Y72" s="38" t="str">
        <f>VLOOKUP(Table3[[#This Row],[Marker Name / Summenformel]],PhysChem_Table[],12,FALSE)</f>
        <v>n.a.</v>
      </c>
      <c r="Z72" s="38" t="str">
        <f>VLOOKUP(Table3[[#This Row],[Marker Name / Summenformel]],PhysChem_Table[],13,FALSE)</f>
        <v>n.a.</v>
      </c>
      <c r="AA72" s="38" t="str">
        <f>VLOOKUP(Table3[[#This Row],[Marker Name / Summenformel]],PhysChem_Table[],14,FALSE)</f>
        <v>n.a.</v>
      </c>
      <c r="AB72" s="38" t="str">
        <f>VLOOKUP(Table3[[#This Row],[Marker Name / Summenformel]],PhysChem_Table[],15,FALSE)</f>
        <v>n.a.</v>
      </c>
      <c r="AC72" s="38" t="str">
        <f>VLOOKUP(Table3[[#This Row],[Marker Name / Summenformel]],PhysChem_Table[],16,FALSE)</f>
        <v>n.a.</v>
      </c>
      <c r="AD72" s="38" t="str">
        <f>VLOOKUP(Table3[[#This Row],[Marker Name / Summenformel]],PhysChem_Table[],17,FALSE)</f>
        <v>n.a.</v>
      </c>
      <c r="AE72" s="38" t="str">
        <f>VLOOKUP(Table3[[#This Row],[Marker Name / Summenformel]],PhysChem_Table[],18,FALSE)</f>
        <v>n.a.</v>
      </c>
      <c r="AF72" s="38" t="str">
        <f>VLOOKUP(Table3[[#This Row],[Marker Name / Summenformel]],PhysChem_Table[],19,FALSE)</f>
        <v>n.a.</v>
      </c>
      <c r="AG72" s="38" t="str">
        <f>VLOOKUP(Table3[[#This Row],[Marker Name / Summenformel]],PhysChem_Table[],20,FALSE)</f>
        <v>n.a.</v>
      </c>
      <c r="AH72" s="38" t="str">
        <f>VLOOKUP(Table3[[#This Row],[Marker Name / Summenformel]],PhysChem_Table[],21,FALSE)</f>
        <v>n.a.</v>
      </c>
      <c r="AI72" s="38" t="str">
        <f>VLOOKUP(Table3[[#This Row],[Marker Name / Summenformel]],PhysChem_Table[],22,FALSE)</f>
        <v>n.a.</v>
      </c>
      <c r="AJ72" s="38" t="str">
        <f>VLOOKUP(Table3[[#This Row],[Marker Name / Summenformel]],PhysChem_Table[],23,FALSE)</f>
        <v>n.a.</v>
      </c>
      <c r="AK72" s="38" t="str">
        <f>VLOOKUP(Table3[[#This Row],[Marker Name / Summenformel]],PhysChem_Table[],24,FALSE)</f>
        <v>n.a.</v>
      </c>
      <c r="AL72" s="38" t="str">
        <f>VLOOKUP(Table3[[#This Row],[Marker Name / Summenformel]],PhysChem_Table[],25,FALSE)</f>
        <v>n.a.</v>
      </c>
      <c r="AM72" s="38" t="str">
        <f>VLOOKUP(Table3[[#This Row],[Marker Name / Summenformel]],PhysChem_Table[],26,FALSE)</f>
        <v>n.a.</v>
      </c>
      <c r="AN72" s="38" t="str">
        <f>VLOOKUP(Table3[[#This Row],[Marker Name / Summenformel]],PhysChem_Table[],27,FALSE)</f>
        <v>n.a.</v>
      </c>
      <c r="AO72" s="38" t="str">
        <f>VLOOKUP(Table3[[#This Row],[Marker Name / Summenformel]],PhysChem_Table[],28,FALSE)</f>
        <v>n.a.</v>
      </c>
      <c r="AP72" s="38" t="str">
        <f>VLOOKUP(Table3[[#This Row],[Marker Name / Summenformel]],PhysChem_Table[],29,FALSE)</f>
        <v>n.a.</v>
      </c>
      <c r="AQ72" s="38" t="str">
        <f>VLOOKUP(Table3[[#This Row],[Marker Name / Summenformel]],PhysChem_Table[],30,FALSE)</f>
        <v>n.a.</v>
      </c>
      <c r="AR72" s="38" t="str">
        <f>VLOOKUP(Table3[[#This Row],[Marker Name / Summenformel]],PhysChem_Table[],31,FALSE)</f>
        <v>n.a.</v>
      </c>
      <c r="AS72" s="38" t="str">
        <f>VLOOKUP(Table3[[#This Row],[Marker Name / Summenformel]],PhysChem_Table[],32,FALSE)</f>
        <v>n.a.</v>
      </c>
      <c r="AT72" s="38" t="str">
        <f>VLOOKUP(Table3[[#This Row],[Marker Name / Summenformel]],PhysChem_Table[],33,FALSE)</f>
        <v>n.a.</v>
      </c>
      <c r="AU72" s="38" t="str">
        <f>VLOOKUP(Table3[[#This Row],[Marker Name / Summenformel]],PhysChem_Table[],34,FALSE)</f>
        <v>n.a.</v>
      </c>
      <c r="AV72" s="10">
        <f>VLOOKUP(Table3[[#This Row],[Marker Name / Summenformel]],PhysChem_Table[],35,FALSE)</f>
        <v>0</v>
      </c>
    </row>
    <row r="73" spans="1:48" ht="16.5" x14ac:dyDescent="0.3">
      <c r="A73" s="10" t="s">
        <v>711</v>
      </c>
      <c r="B73" s="38" t="str">
        <f>VLOOKUP(Table3[[#This Row],[Marker Name / Summenformel]],BaseInfos_Table[],2,FALSE)</f>
        <v>modified rare earth oxid</v>
      </c>
      <c r="C73" s="38" t="str">
        <f>VLOOKUP(Table3[[#This Row],[Marker Name / Summenformel]],BaseInfos_Table[],3,FALSE)</f>
        <v>n.a.</v>
      </c>
      <c r="D73" s="38" t="str">
        <f>VLOOKUP(Table3[[#This Row],[Marker Name / Summenformel]],BaseInfos_Table[],4,FALSE)</f>
        <v>n.a.</v>
      </c>
      <c r="E73" s="38" t="str">
        <f>VLOOKUP(Table3[[#This Row],[Marker Name / Summenformel]],BaseInfos_Table[],5,FALSE)</f>
        <v>Sahu et al., 2018 / Environmental Science &amp; Technology</v>
      </c>
      <c r="F73" s="38" t="str">
        <f>VLOOKUP(Table3[[#This Row],[Marker Name / Summenformel]],BaseInfos_Table[],6,FALSE)</f>
        <v>IR , XRF ,UV-Vis</v>
      </c>
      <c r="G73" s="38" t="str">
        <f>VLOOKUP(Table3[[#This Row],[Marker Name / Summenformel]],BaseInfos_Table[],7,FALSE)</f>
        <v>Y</v>
      </c>
      <c r="H73" s="38" t="str">
        <f>VLOOKUP(Table3[[#This Row],[Marker Name / Summenformel]],BaseInfos_Table[],8,FALSE)</f>
        <v>n.a.</v>
      </c>
      <c r="I73" s="38" t="str">
        <f>VLOOKUP(Table3[[#This Row],[Marker Name / Summenformel]],BaseInfos_Table[],9,FALSE)</f>
        <v>n.a.</v>
      </c>
      <c r="J73" s="38" t="str">
        <f>VLOOKUP(Table3[[#This Row],[Marker Name / Summenformel]],BaseInfos_Table[],10,FALSE)</f>
        <v>https://www.americanelements.com/erbium-doped-yttrium-aluminum-garnet-er-yag</v>
      </c>
      <c r="K73" s="38">
        <f>VLOOKUP(Table3[[#This Row],[Marker Name / Summenformel]],BaseInfos_Table[],11,FALSE)</f>
        <v>0</v>
      </c>
      <c r="L73" s="10" t="str">
        <f>VLOOKUP(Table3[[#This Row],[Marker Name / Summenformel]],GHS_Table[#All],3,FALSE)</f>
        <v>n.a.</v>
      </c>
      <c r="M73" s="10" t="str">
        <f>VLOOKUP(Table3[[#This Row],[Marker Name / Summenformel]],GHS_Table[#All],4,FALSE)</f>
        <v>n.a.</v>
      </c>
      <c r="N73" s="10" t="str">
        <f>VLOOKUP(Table3[[#This Row],[Marker Name / Summenformel]],GHS_Table[#All],5,FALSE)</f>
        <v>n.a.</v>
      </c>
      <c r="O73" s="10" t="str">
        <f>VLOOKUP(Table3[[#This Row],[Marker Name / Summenformel]],GHS_Table[#All],6,FALSE)</f>
        <v>n.a.</v>
      </c>
      <c r="P73" s="38" t="str">
        <f>VLOOKUP(Table3[[#This Row],[Marker Name / Summenformel]],PhysChem_Table[],3,FALSE)</f>
        <v>n.a.</v>
      </c>
      <c r="Q73" s="38" t="str">
        <f>VLOOKUP(Table3[[#This Row],[Marker Name / Summenformel]],PhysChem_Table[],4,FALSE)</f>
        <v>n.a.</v>
      </c>
      <c r="R73" s="38" t="str">
        <f>VLOOKUP(Table3[[#This Row],[Marker Name / Summenformel]],PhysChem_Table[],5,FALSE)</f>
        <v>n.a.</v>
      </c>
      <c r="S73" s="38" t="str">
        <f>VLOOKUP(Table3[[#This Row],[Marker Name / Summenformel]],PhysChem_Table[],6,FALSE)</f>
        <v>n.a.</v>
      </c>
      <c r="T73" s="38" t="str">
        <f>VLOOKUP(Table3[[#This Row],[Marker Name / Summenformel]],PhysChem_Table[],7,FALSE)</f>
        <v>n.a.</v>
      </c>
      <c r="U73" s="38" t="str">
        <f>VLOOKUP(Table3[[#This Row],[Marker Name / Summenformel]],PhysChem_Table[],8,FALSE)</f>
        <v>n.a.</v>
      </c>
      <c r="V73" s="38" t="str">
        <f>VLOOKUP(Table3[[#This Row],[Marker Name / Summenformel]],PhysChem_Table[],9,FALSE)</f>
        <v>n.a.</v>
      </c>
      <c r="W73" s="38" t="str">
        <f>VLOOKUP(Table3[[#This Row],[Marker Name / Summenformel]],PhysChem_Table[],10,FALSE)</f>
        <v>n.a.</v>
      </c>
      <c r="X73" s="38" t="str">
        <f>VLOOKUP(Table3[[#This Row],[Marker Name / Summenformel]],PhysChem_Table[],11,FALSE)</f>
        <v>n.a.</v>
      </c>
      <c r="Y73" s="38" t="str">
        <f>VLOOKUP(Table3[[#This Row],[Marker Name / Summenformel]],PhysChem_Table[],12,FALSE)</f>
        <v>n.a.</v>
      </c>
      <c r="Z73" s="38" t="str">
        <f>VLOOKUP(Table3[[#This Row],[Marker Name / Summenformel]],PhysChem_Table[],13,FALSE)</f>
        <v>n.a.</v>
      </c>
      <c r="AA73" s="38" t="str">
        <f>VLOOKUP(Table3[[#This Row],[Marker Name / Summenformel]],PhysChem_Table[],14,FALSE)</f>
        <v>n.a.</v>
      </c>
      <c r="AB73" s="38" t="str">
        <f>VLOOKUP(Table3[[#This Row],[Marker Name / Summenformel]],PhysChem_Table[],15,FALSE)</f>
        <v>n.a.</v>
      </c>
      <c r="AC73" s="38" t="str">
        <f>VLOOKUP(Table3[[#This Row],[Marker Name / Summenformel]],PhysChem_Table[],16,FALSE)</f>
        <v>n.a.</v>
      </c>
      <c r="AD73" s="38" t="str">
        <f>VLOOKUP(Table3[[#This Row],[Marker Name / Summenformel]],PhysChem_Table[],17,FALSE)</f>
        <v>n.a.</v>
      </c>
      <c r="AE73" s="38" t="str">
        <f>VLOOKUP(Table3[[#This Row],[Marker Name / Summenformel]],PhysChem_Table[],18,FALSE)</f>
        <v>n.a.</v>
      </c>
      <c r="AF73" s="38" t="str">
        <f>VLOOKUP(Table3[[#This Row],[Marker Name / Summenformel]],PhysChem_Table[],19,FALSE)</f>
        <v>n.a.</v>
      </c>
      <c r="AG73" s="38" t="str">
        <f>VLOOKUP(Table3[[#This Row],[Marker Name / Summenformel]],PhysChem_Table[],20,FALSE)</f>
        <v>n.a.</v>
      </c>
      <c r="AH73" s="38" t="str">
        <f>VLOOKUP(Table3[[#This Row],[Marker Name / Summenformel]],PhysChem_Table[],21,FALSE)</f>
        <v>n.a.</v>
      </c>
      <c r="AI73" s="38" t="str">
        <f>VLOOKUP(Table3[[#This Row],[Marker Name / Summenformel]],PhysChem_Table[],22,FALSE)</f>
        <v>n.a.</v>
      </c>
      <c r="AJ73" s="38" t="str">
        <f>VLOOKUP(Table3[[#This Row],[Marker Name / Summenformel]],PhysChem_Table[],23,FALSE)</f>
        <v>n.a.</v>
      </c>
      <c r="AK73" s="38" t="str">
        <f>VLOOKUP(Table3[[#This Row],[Marker Name / Summenformel]],PhysChem_Table[],24,FALSE)</f>
        <v>n.a.</v>
      </c>
      <c r="AL73" s="38" t="str">
        <f>VLOOKUP(Table3[[#This Row],[Marker Name / Summenformel]],PhysChem_Table[],25,FALSE)</f>
        <v>n.a.</v>
      </c>
      <c r="AM73" s="38" t="str">
        <f>VLOOKUP(Table3[[#This Row],[Marker Name / Summenformel]],PhysChem_Table[],26,FALSE)</f>
        <v>n.a.</v>
      </c>
      <c r="AN73" s="38" t="str">
        <f>VLOOKUP(Table3[[#This Row],[Marker Name / Summenformel]],PhysChem_Table[],27,FALSE)</f>
        <v>n.a.</v>
      </c>
      <c r="AO73" s="38" t="str">
        <f>VLOOKUP(Table3[[#This Row],[Marker Name / Summenformel]],PhysChem_Table[],28,FALSE)</f>
        <v>n.a.</v>
      </c>
      <c r="AP73" s="38" t="str">
        <f>VLOOKUP(Table3[[#This Row],[Marker Name / Summenformel]],PhysChem_Table[],29,FALSE)</f>
        <v>n.a.</v>
      </c>
      <c r="AQ73" s="38" t="str">
        <f>VLOOKUP(Table3[[#This Row],[Marker Name / Summenformel]],PhysChem_Table[],30,FALSE)</f>
        <v>n.a.</v>
      </c>
      <c r="AR73" s="38" t="str">
        <f>VLOOKUP(Table3[[#This Row],[Marker Name / Summenformel]],PhysChem_Table[],31,FALSE)</f>
        <v>n.a.</v>
      </c>
      <c r="AS73" s="38" t="str">
        <f>VLOOKUP(Table3[[#This Row],[Marker Name / Summenformel]],PhysChem_Table[],32,FALSE)</f>
        <v>n.a.</v>
      </c>
      <c r="AT73" s="38" t="str">
        <f>VLOOKUP(Table3[[#This Row],[Marker Name / Summenformel]],PhysChem_Table[],33,FALSE)</f>
        <v>n.a.</v>
      </c>
      <c r="AU73" s="38" t="str">
        <f>VLOOKUP(Table3[[#This Row],[Marker Name / Summenformel]],PhysChem_Table[],34,FALSE)</f>
        <v>n.a.</v>
      </c>
      <c r="AV73" s="10">
        <f>VLOOKUP(Table3[[#This Row],[Marker Name / Summenformel]],PhysChem_Table[],35,FALSE)</f>
        <v>0</v>
      </c>
    </row>
    <row r="74" spans="1:48" ht="15.6" customHeight="1" x14ac:dyDescent="0.3">
      <c r="A74" s="10" t="s">
        <v>712</v>
      </c>
      <c r="B74" s="10" t="str">
        <f>VLOOKUP(Table3[[#This Row],[Marker Name / Summenformel]],BaseInfos_Table[],2,FALSE)</f>
        <v>modified rare earth oxid</v>
      </c>
      <c r="C74" s="10" t="str">
        <f>VLOOKUP(Table3[[#This Row],[Marker Name / Summenformel]],BaseInfos_Table[],3,FALSE)</f>
        <v>12005-21-9</v>
      </c>
      <c r="D74" s="10" t="str">
        <f>VLOOKUP(Table3[[#This Row],[Marker Name / Summenformel]],BaseInfos_Table[],4,FALSE)</f>
        <v>234-465-8</v>
      </c>
      <c r="E74" s="10" t="str">
        <f>VLOOKUP(Table3[[#This Row],[Marker Name / Summenformel]],BaseInfos_Table[],5,FALSE)</f>
        <v>Sahu et al., 2018 / Environmental Science &amp; Technology</v>
      </c>
      <c r="F74" s="10" t="str">
        <f>VLOOKUP(Table3[[#This Row],[Marker Name / Summenformel]],BaseInfos_Table[],6,FALSE)</f>
        <v>IR , XRF ,UV-Vis</v>
      </c>
      <c r="G74" s="10" t="str">
        <f>VLOOKUP(Table3[[#This Row],[Marker Name / Summenformel]],BaseInfos_Table[],7,FALSE)</f>
        <v>Y</v>
      </c>
      <c r="H74" s="10">
        <f>VLOOKUP(Table3[[#This Row],[Marker Name / Summenformel]],BaseInfos_Table[],8,FALSE)</f>
        <v>1</v>
      </c>
      <c r="I74" s="10" t="str">
        <f>VLOOKUP(Table3[[#This Row],[Marker Name / Summenformel]],BaseInfos_Table[],9,FALSE)</f>
        <v>https://echa.europa.eu/de/substance-information/-/substanceinfo/100.031.319</v>
      </c>
      <c r="J74" s="10" t="str">
        <f>VLOOKUP(Table3[[#This Row],[Marker Name / Summenformel]],BaseInfos_Table[],10,FALSE)</f>
        <v>https://www.sigmaaldrich.com/AT/de/product/aldrich/634638</v>
      </c>
      <c r="K74" s="10">
        <f>VLOOKUP(Table3[[#This Row],[Marker Name / Summenformel]],BaseInfos_Table[],11,FALSE)</f>
        <v>0</v>
      </c>
      <c r="L74" s="10" t="str">
        <f>VLOOKUP(Table3[[#This Row],[Marker Name / Summenformel]],GHS_Table[#All],3,FALSE)</f>
        <v>REACH</v>
      </c>
      <c r="M74" s="10">
        <f>VLOOKUP(Table3[[#This Row],[Marker Name / Summenformel]],GHS_Table[#All],4,FALSE)</f>
        <v>0</v>
      </c>
      <c r="N74" s="10">
        <f>VLOOKUP(Table3[[#This Row],[Marker Name / Summenformel]],GHS_Table[#All],5,FALSE)</f>
        <v>0</v>
      </c>
      <c r="O74" s="10">
        <f>VLOOKUP(Table3[[#This Row],[Marker Name / Summenformel]],GHS_Table[#All],6,FALSE)</f>
        <v>0</v>
      </c>
      <c r="P74" s="10" t="str">
        <f>VLOOKUP(Table3[[#This Row],[Marker Name / Summenformel]],PhysChem_Table[],3,FALSE)</f>
        <v>solid: powder</v>
      </c>
      <c r="Q74" s="10" t="str">
        <f>VLOOKUP(Table3[[#This Row],[Marker Name / Summenformel]],PhysChem_Table[],4,FALSE)</f>
        <v>yellow</v>
      </c>
      <c r="R74" s="10">
        <f>VLOOKUP(Table3[[#This Row],[Marker Name / Summenformel]],PhysChem_Table[],5,FALSE)</f>
        <v>1440</v>
      </c>
      <c r="S74" s="10" t="str">
        <f>VLOOKUP(Table3[[#This Row],[Marker Name / Summenformel]],PhysChem_Table[],6,FALSE)</f>
        <v>n.s.</v>
      </c>
      <c r="T74" s="10" t="str">
        <f>VLOOKUP(Table3[[#This Row],[Marker Name / Summenformel]],PhysChem_Table[],7,FALSE)</f>
        <v>n.r.</v>
      </c>
      <c r="U74" s="10" t="str">
        <f>VLOOKUP(Table3[[#This Row],[Marker Name / Summenformel]],PhysChem_Table[],8,FALSE)</f>
        <v>n.r.</v>
      </c>
      <c r="V74" s="10">
        <f>VLOOKUP(Table3[[#This Row],[Marker Name / Summenformel]],PhysChem_Table[],9,FALSE)</f>
        <v>4.55</v>
      </c>
      <c r="W74" s="10">
        <f>VLOOKUP(Table3[[#This Row],[Marker Name / Summenformel]],PhysChem_Table[],10,FALSE)</f>
        <v>20</v>
      </c>
      <c r="X74" s="10" t="str">
        <f>VLOOKUP(Table3[[#This Row],[Marker Name / Summenformel]],PhysChem_Table[],11,FALSE)</f>
        <v>27.16 um</v>
      </c>
      <c r="Y74" s="10" t="str">
        <f>VLOOKUP(Table3[[#This Row],[Marker Name / Summenformel]],PhysChem_Table[],12,FALSE)</f>
        <v>n.r.</v>
      </c>
      <c r="Z74" s="10" t="str">
        <f>VLOOKUP(Table3[[#This Row],[Marker Name / Summenformel]],PhysChem_Table[],13,FALSE)</f>
        <v>n.r.</v>
      </c>
      <c r="AA74" s="10" t="str">
        <f>VLOOKUP(Table3[[#This Row],[Marker Name / Summenformel]],PhysChem_Table[],14,FALSE)</f>
        <v>n.r.</v>
      </c>
      <c r="AB74" s="10" t="str">
        <f>VLOOKUP(Table3[[#This Row],[Marker Name / Summenformel]],PhysChem_Table[],15,FALSE)</f>
        <v>n.r.</v>
      </c>
      <c r="AC74" s="10">
        <f>VLOOKUP(Table3[[#This Row],[Marker Name / Summenformel]],PhysChem_Table[],16,FALSE)</f>
        <v>1E-4</v>
      </c>
      <c r="AD74" s="10">
        <f>VLOOKUP(Table3[[#This Row],[Marker Name / Summenformel]],PhysChem_Table[],17,FALSE)</f>
        <v>20</v>
      </c>
      <c r="AE74" s="10" t="str">
        <f>VLOOKUP(Table3[[#This Row],[Marker Name / Summenformel]],PhysChem_Table[],18,FALSE)</f>
        <v>n.a.</v>
      </c>
      <c r="AF74" s="10" t="str">
        <f>VLOOKUP(Table3[[#This Row],[Marker Name / Summenformel]],PhysChem_Table[],19,FALSE)</f>
        <v>n.a.</v>
      </c>
      <c r="AG74" s="10" t="str">
        <f>VLOOKUP(Table3[[#This Row],[Marker Name / Summenformel]],PhysChem_Table[],20,FALSE)</f>
        <v>n.a.</v>
      </c>
      <c r="AH74" s="10" t="str">
        <f>VLOOKUP(Table3[[#This Row],[Marker Name / Summenformel]],PhysChem_Table[],21,FALSE)</f>
        <v>n.r.</v>
      </c>
      <c r="AI74" s="10" t="str">
        <f>VLOOKUP(Table3[[#This Row],[Marker Name / Summenformel]],PhysChem_Table[],22,FALSE)</f>
        <v>n.r.</v>
      </c>
      <c r="AJ74" s="10" t="str">
        <f>VLOOKUP(Table3[[#This Row],[Marker Name / Summenformel]],PhysChem_Table[],23,FALSE)</f>
        <v>n.r.</v>
      </c>
      <c r="AK74" s="10" t="str">
        <f>VLOOKUP(Table3[[#This Row],[Marker Name / Summenformel]],PhysChem_Table[],24,FALSE)</f>
        <v>N</v>
      </c>
      <c r="AL74" s="10" t="str">
        <f>VLOOKUP(Table3[[#This Row],[Marker Name / Summenformel]],PhysChem_Table[],25,FALSE)</f>
        <v>no flammability</v>
      </c>
      <c r="AM74" s="10" t="str">
        <f>VLOOKUP(Table3[[#This Row],[Marker Name / Summenformel]],PhysChem_Table[],26,FALSE)</f>
        <v>non explosive</v>
      </c>
      <c r="AN74" s="10" t="str">
        <f>VLOOKUP(Table3[[#This Row],[Marker Name / Summenformel]],PhysChem_Table[],27,FALSE)</f>
        <v>non oxidising</v>
      </c>
      <c r="AO74" s="10" t="str">
        <f>VLOOKUP(Table3[[#This Row],[Marker Name / Summenformel]],PhysChem_Table[],28,FALSE)</f>
        <v>n.a.</v>
      </c>
      <c r="AP74" s="10" t="str">
        <f>VLOOKUP(Table3[[#This Row],[Marker Name / Summenformel]],PhysChem_Table[],29,FALSE)</f>
        <v>n.a.</v>
      </c>
      <c r="AQ74" s="10" t="str">
        <f>VLOOKUP(Table3[[#This Row],[Marker Name / Summenformel]],PhysChem_Table[],30,FALSE)</f>
        <v>n.a.</v>
      </c>
      <c r="AR74" s="10" t="str">
        <f>VLOOKUP(Table3[[#This Row],[Marker Name / Summenformel]],PhysChem_Table[],31,FALSE)</f>
        <v>n.a.</v>
      </c>
      <c r="AS74" s="10" t="str">
        <f>VLOOKUP(Table3[[#This Row],[Marker Name / Summenformel]],PhysChem_Table[],32,FALSE)</f>
        <v>n.a.</v>
      </c>
      <c r="AT74" s="10" t="str">
        <f>VLOOKUP(Table3[[#This Row],[Marker Name / Summenformel]],PhysChem_Table[],33,FALSE)</f>
        <v>n.a.</v>
      </c>
      <c r="AU74" s="10" t="str">
        <f>VLOOKUP(Table3[[#This Row],[Marker Name / Summenformel]],PhysChem_Table[],34,FALSE)</f>
        <v>https://echa.europa.eu/de/registration-dossier/-/registered-dossier/16387/4/16</v>
      </c>
      <c r="AV74" s="10">
        <f>VLOOKUP(Table3[[#This Row],[Marker Name / Summenformel]],PhysChem_Table[],35,FALSE)</f>
        <v>0</v>
      </c>
    </row>
    <row r="75" spans="1:48" x14ac:dyDescent="0.3">
      <c r="A75" s="10" t="s">
        <v>525</v>
      </c>
      <c r="B75" s="38" t="str">
        <f>VLOOKUP(Table3[[#This Row],[Marker Name / Summenformel]],BaseInfos_Table[],2,FALSE)</f>
        <v>disubstituted polyacetylene</v>
      </c>
      <c r="C75" s="38" t="str">
        <f>VLOOKUP(Table3[[#This Row],[Marker Name / Summenformel]],BaseInfos_Table[],3,FALSE)</f>
        <v>n.a.</v>
      </c>
      <c r="D75" s="38" t="str">
        <f>VLOOKUP(Table3[[#This Row],[Marker Name / Summenformel]],BaseInfos_Table[],4,FALSE)</f>
        <v>n.a.</v>
      </c>
      <c r="E75" s="38" t="str">
        <f>VLOOKUP(Table3[[#This Row],[Marker Name / Summenformel]],BaseInfos_Table[],5,FALSE)</f>
        <v>Ku'ritka et al., 2020 / MDPI Polymers</v>
      </c>
      <c r="F75" s="38" t="str">
        <f>VLOOKUP(Table3[[#This Row],[Marker Name / Summenformel]],BaseInfos_Table[],6,FALSE)</f>
        <v>UV-Vis</v>
      </c>
      <c r="G75" s="38" t="str">
        <f>VLOOKUP(Table3[[#This Row],[Marker Name / Summenformel]],BaseInfos_Table[],7,FALSE)</f>
        <v>N</v>
      </c>
      <c r="H75" s="38" t="str">
        <f>VLOOKUP(Table3[[#This Row],[Marker Name / Summenformel]],BaseInfos_Table[],8,FALSE)</f>
        <v>n.a.</v>
      </c>
      <c r="I75" s="38" t="str">
        <f>VLOOKUP(Table3[[#This Row],[Marker Name / Summenformel]],BaseInfos_Table[],9,FALSE)</f>
        <v>n.a.</v>
      </c>
      <c r="J75" s="38" t="str">
        <f>VLOOKUP(Table3[[#This Row],[Marker Name / Summenformel]],BaseInfos_Table[],10,FALSE)</f>
        <v>n.a.</v>
      </c>
      <c r="K75" s="38">
        <f>VLOOKUP(Table3[[#This Row],[Marker Name / Summenformel]],BaseInfos_Table[],11,FALSE)</f>
        <v>0</v>
      </c>
      <c r="L75" s="10" t="str">
        <f>VLOOKUP(Table3[[#This Row],[Marker Name / Summenformel]],GHS_Table[#All],3,FALSE)</f>
        <v>n.a.</v>
      </c>
      <c r="M75" s="10" t="str">
        <f>VLOOKUP(Table3[[#This Row],[Marker Name / Summenformel]],GHS_Table[#All],4,FALSE)</f>
        <v>n.a.</v>
      </c>
      <c r="N75" s="10" t="str">
        <f>VLOOKUP(Table3[[#This Row],[Marker Name / Summenformel]],GHS_Table[#All],5,FALSE)</f>
        <v>n.a.</v>
      </c>
      <c r="O75" s="10" t="str">
        <f>VLOOKUP(Table3[[#This Row],[Marker Name / Summenformel]],GHS_Table[#All],6,FALSE)</f>
        <v>n.a.</v>
      </c>
      <c r="P75" s="38" t="str">
        <f>VLOOKUP(Table3[[#This Row],[Marker Name / Summenformel]],PhysChem_Table[],3,FALSE)</f>
        <v>n.a.</v>
      </c>
      <c r="Q75" s="38" t="str">
        <f>VLOOKUP(Table3[[#This Row],[Marker Name / Summenformel]],PhysChem_Table[],4,FALSE)</f>
        <v>n.a.</v>
      </c>
      <c r="R75" s="38" t="str">
        <f>VLOOKUP(Table3[[#This Row],[Marker Name / Summenformel]],PhysChem_Table[],5,FALSE)</f>
        <v>n.a.</v>
      </c>
      <c r="S75" s="38" t="str">
        <f>VLOOKUP(Table3[[#This Row],[Marker Name / Summenformel]],PhysChem_Table[],6,FALSE)</f>
        <v>n.a.</v>
      </c>
      <c r="T75" s="38" t="str">
        <f>VLOOKUP(Table3[[#This Row],[Marker Name / Summenformel]],PhysChem_Table[],7,FALSE)</f>
        <v>n.a.</v>
      </c>
      <c r="U75" s="38" t="str">
        <f>VLOOKUP(Table3[[#This Row],[Marker Name / Summenformel]],PhysChem_Table[],8,FALSE)</f>
        <v>n.a.</v>
      </c>
      <c r="V75" s="38" t="str">
        <f>VLOOKUP(Table3[[#This Row],[Marker Name / Summenformel]],PhysChem_Table[],9,FALSE)</f>
        <v>n.a.</v>
      </c>
      <c r="W75" s="38" t="str">
        <f>VLOOKUP(Table3[[#This Row],[Marker Name / Summenformel]],PhysChem_Table[],10,FALSE)</f>
        <v>n.a.</v>
      </c>
      <c r="X75" s="38" t="str">
        <f>VLOOKUP(Table3[[#This Row],[Marker Name / Summenformel]],PhysChem_Table[],11,FALSE)</f>
        <v>n.a.</v>
      </c>
      <c r="Y75" s="38" t="str">
        <f>VLOOKUP(Table3[[#This Row],[Marker Name / Summenformel]],PhysChem_Table[],12,FALSE)</f>
        <v>n.a.</v>
      </c>
      <c r="Z75" s="38" t="str">
        <f>VLOOKUP(Table3[[#This Row],[Marker Name / Summenformel]],PhysChem_Table[],13,FALSE)</f>
        <v>n.a.</v>
      </c>
      <c r="AA75" s="38" t="str">
        <f>VLOOKUP(Table3[[#This Row],[Marker Name / Summenformel]],PhysChem_Table[],14,FALSE)</f>
        <v>n.a.</v>
      </c>
      <c r="AB75" s="38" t="str">
        <f>VLOOKUP(Table3[[#This Row],[Marker Name / Summenformel]],PhysChem_Table[],15,FALSE)</f>
        <v>n.a.</v>
      </c>
      <c r="AC75" s="38" t="str">
        <f>VLOOKUP(Table3[[#This Row],[Marker Name / Summenformel]],PhysChem_Table[],16,FALSE)</f>
        <v>n.a.</v>
      </c>
      <c r="AD75" s="38" t="str">
        <f>VLOOKUP(Table3[[#This Row],[Marker Name / Summenformel]],PhysChem_Table[],17,FALSE)</f>
        <v>n.a.</v>
      </c>
      <c r="AE75" s="38" t="str">
        <f>VLOOKUP(Table3[[#This Row],[Marker Name / Summenformel]],PhysChem_Table[],18,FALSE)</f>
        <v>n.a.</v>
      </c>
      <c r="AF75" s="38" t="str">
        <f>VLOOKUP(Table3[[#This Row],[Marker Name / Summenformel]],PhysChem_Table[],19,FALSE)</f>
        <v>n.a.</v>
      </c>
      <c r="AG75" s="38" t="str">
        <f>VLOOKUP(Table3[[#This Row],[Marker Name / Summenformel]],PhysChem_Table[],20,FALSE)</f>
        <v>n.a.</v>
      </c>
      <c r="AH75" s="38" t="str">
        <f>VLOOKUP(Table3[[#This Row],[Marker Name / Summenformel]],PhysChem_Table[],21,FALSE)</f>
        <v>n.a.</v>
      </c>
      <c r="AI75" s="38" t="str">
        <f>VLOOKUP(Table3[[#This Row],[Marker Name / Summenformel]],PhysChem_Table[],22,FALSE)</f>
        <v>n.a.</v>
      </c>
      <c r="AJ75" s="38" t="str">
        <f>VLOOKUP(Table3[[#This Row],[Marker Name / Summenformel]],PhysChem_Table[],23,FALSE)</f>
        <v>n.a.</v>
      </c>
      <c r="AK75" s="38" t="str">
        <f>VLOOKUP(Table3[[#This Row],[Marker Name / Summenformel]],PhysChem_Table[],24,FALSE)</f>
        <v>n.a.</v>
      </c>
      <c r="AL75" s="38" t="str">
        <f>VLOOKUP(Table3[[#This Row],[Marker Name / Summenformel]],PhysChem_Table[],25,FALSE)</f>
        <v>n.a.</v>
      </c>
      <c r="AM75" s="38" t="str">
        <f>VLOOKUP(Table3[[#This Row],[Marker Name / Summenformel]],PhysChem_Table[],26,FALSE)</f>
        <v>n.a.</v>
      </c>
      <c r="AN75" s="38" t="str">
        <f>VLOOKUP(Table3[[#This Row],[Marker Name / Summenformel]],PhysChem_Table[],27,FALSE)</f>
        <v>n.a.</v>
      </c>
      <c r="AO75" s="38" t="str">
        <f>VLOOKUP(Table3[[#This Row],[Marker Name / Summenformel]],PhysChem_Table[],28,FALSE)</f>
        <v>n.a.</v>
      </c>
      <c r="AP75" s="38" t="str">
        <f>VLOOKUP(Table3[[#This Row],[Marker Name / Summenformel]],PhysChem_Table[],29,FALSE)</f>
        <v>n.a.</v>
      </c>
      <c r="AQ75" s="38" t="str">
        <f>VLOOKUP(Table3[[#This Row],[Marker Name / Summenformel]],PhysChem_Table[],30,FALSE)</f>
        <v>n.a.</v>
      </c>
      <c r="AR75" s="38" t="str">
        <f>VLOOKUP(Table3[[#This Row],[Marker Name / Summenformel]],PhysChem_Table[],31,FALSE)</f>
        <v>n.a.</v>
      </c>
      <c r="AS75" s="38" t="str">
        <f>VLOOKUP(Table3[[#This Row],[Marker Name / Summenformel]],PhysChem_Table[],32,FALSE)</f>
        <v>n.a.</v>
      </c>
      <c r="AT75" s="38" t="str">
        <f>VLOOKUP(Table3[[#This Row],[Marker Name / Summenformel]],PhysChem_Table[],33,FALSE)</f>
        <v>n.a.</v>
      </c>
      <c r="AU75" s="38" t="str">
        <f>VLOOKUP(Table3[[#This Row],[Marker Name / Summenformel]],PhysChem_Table[],34,FALSE)</f>
        <v>n.a.</v>
      </c>
      <c r="AV75" s="10">
        <f>VLOOKUP(Table3[[#This Row],[Marker Name / Summenformel]],PhysChem_Table[],35,FALSE)</f>
        <v>0</v>
      </c>
    </row>
    <row r="76" spans="1:48" x14ac:dyDescent="0.3">
      <c r="A76" s="10" t="s">
        <v>578</v>
      </c>
      <c r="B76" s="38" t="str">
        <f>VLOOKUP(Table3[[#This Row],[Marker Name / Summenformel]],BaseInfos_Table[],2,FALSE)</f>
        <v>metal oxide</v>
      </c>
      <c r="C76" s="38" t="str">
        <f>VLOOKUP(Table3[[#This Row],[Marker Name / Summenformel]],BaseInfos_Table[],3,FALSE)</f>
        <v>1345-25-1</v>
      </c>
      <c r="D76" s="38" t="str">
        <f>VLOOKUP(Table3[[#This Row],[Marker Name / Summenformel]],BaseInfos_Table[],4,FALSE)</f>
        <v>215-721-8</v>
      </c>
      <c r="E76" s="38" t="str">
        <f>VLOOKUP(Table3[[#This Row],[Marker Name / Summenformel]],BaseInfos_Table[],5,FALSE)</f>
        <v>Bezati et al. 2011 / Resources Conservation &amp; Recycling</v>
      </c>
      <c r="F76" s="38" t="str">
        <f>VLOOKUP(Table3[[#This Row],[Marker Name / Summenformel]],BaseInfos_Table[],6,FALSE)</f>
        <v>XRF</v>
      </c>
      <c r="G76" s="38" t="str">
        <f>VLOOKUP(Table3[[#This Row],[Marker Name / Summenformel]],BaseInfos_Table[],7,FALSE)</f>
        <v>Y</v>
      </c>
      <c r="H76" s="38">
        <f>VLOOKUP(Table3[[#This Row],[Marker Name / Summenformel]],BaseInfos_Table[],8,FALSE)</f>
        <v>1000</v>
      </c>
      <c r="I76" s="38" t="str">
        <f>VLOOKUP(Table3[[#This Row],[Marker Name / Summenformel]],BaseInfos_Table[],9,FALSE)</f>
        <v>https://echa.europa.eu/de/substance-information/-/substanceinfo/100.014.292</v>
      </c>
      <c r="J76" s="38" t="str">
        <f>VLOOKUP(Table3[[#This Row],[Marker Name / Summenformel]],BaseInfos_Table[],10,FALSE)</f>
        <v>https://www.sigmaaldrich.com/AT/de/product/aldrich/400866</v>
      </c>
      <c r="K76" s="38">
        <f>VLOOKUP(Table3[[#This Row],[Marker Name / Summenformel]],BaseInfos_Table[],11,FALSE)</f>
        <v>0</v>
      </c>
      <c r="L76" s="10" t="str">
        <f>VLOOKUP(Table3[[#This Row],[Marker Name / Summenformel]],GHS_Table[#All],3,FALSE)</f>
        <v>REACH</v>
      </c>
      <c r="M76" s="10">
        <f>VLOOKUP(Table3[[#This Row],[Marker Name / Summenformel]],GHS_Table[#All],4,FALSE)</f>
        <v>0</v>
      </c>
      <c r="N76" s="10">
        <f>VLOOKUP(Table3[[#This Row],[Marker Name / Summenformel]],GHS_Table[#All],5,FALSE)</f>
        <v>0</v>
      </c>
      <c r="O76" s="10">
        <f>VLOOKUP(Table3[[#This Row],[Marker Name / Summenformel]],GHS_Table[#All],6,FALSE)</f>
        <v>0</v>
      </c>
      <c r="P76" s="38" t="str">
        <f>VLOOKUP(Table3[[#This Row],[Marker Name / Summenformel]],PhysChem_Table[],3,FALSE)</f>
        <v>solid: powder</v>
      </c>
      <c r="Q76" s="38" t="str">
        <f>VLOOKUP(Table3[[#This Row],[Marker Name / Summenformel]],PhysChem_Table[],4,FALSE)</f>
        <v>black</v>
      </c>
      <c r="R76" s="38">
        <f>VLOOKUP(Table3[[#This Row],[Marker Name / Summenformel]],PhysChem_Table[],5,FALSE)</f>
        <v>1369</v>
      </c>
      <c r="S76" s="38" t="str">
        <f>VLOOKUP(Table3[[#This Row],[Marker Name / Summenformel]],PhysChem_Table[],6,FALSE)</f>
        <v>n.s.</v>
      </c>
      <c r="T76" s="38" t="str">
        <f>VLOOKUP(Table3[[#This Row],[Marker Name / Summenformel]],PhysChem_Table[],7,FALSE)</f>
        <v>n.r.</v>
      </c>
      <c r="U76" s="38" t="str">
        <f>VLOOKUP(Table3[[#This Row],[Marker Name / Summenformel]],PhysChem_Table[],8,FALSE)</f>
        <v>n.r.</v>
      </c>
      <c r="V76" s="38">
        <f>VLOOKUP(Table3[[#This Row],[Marker Name / Summenformel]],PhysChem_Table[],9,FALSE)</f>
        <v>5.7</v>
      </c>
      <c r="W76" s="38" t="str">
        <f>VLOOKUP(Table3[[#This Row],[Marker Name / Summenformel]],PhysChem_Table[],10,FALSE)</f>
        <v>n.s.</v>
      </c>
      <c r="X76" s="38" t="str">
        <f>VLOOKUP(Table3[[#This Row],[Marker Name / Summenformel]],PhysChem_Table[],11,FALSE)</f>
        <v>1 um</v>
      </c>
      <c r="Y76" s="38" t="str">
        <f>VLOOKUP(Table3[[#This Row],[Marker Name / Summenformel]],PhysChem_Table[],12,FALSE)</f>
        <v>n.r.</v>
      </c>
      <c r="Z76" s="38" t="str">
        <f>VLOOKUP(Table3[[#This Row],[Marker Name / Summenformel]],PhysChem_Table[],13,FALSE)</f>
        <v>n.r.</v>
      </c>
      <c r="AA76" s="38" t="str">
        <f>VLOOKUP(Table3[[#This Row],[Marker Name / Summenformel]],PhysChem_Table[],14,FALSE)</f>
        <v>n.r.</v>
      </c>
      <c r="AB76" s="38" t="str">
        <f>VLOOKUP(Table3[[#This Row],[Marker Name / Summenformel]],PhysChem_Table[],15,FALSE)</f>
        <v>n.r.</v>
      </c>
      <c r="AC76" s="38">
        <f>VLOOKUP(Table3[[#This Row],[Marker Name / Summenformel]],PhysChem_Table[],16,FALSE)</f>
        <v>9.9999999999999995E-7</v>
      </c>
      <c r="AD76" s="38" t="str">
        <f>VLOOKUP(Table3[[#This Row],[Marker Name / Summenformel]],PhysChem_Table[],17,FALSE)</f>
        <v>n.s.</v>
      </c>
      <c r="AE76" s="38" t="str">
        <f>VLOOKUP(Table3[[#This Row],[Marker Name / Summenformel]],PhysChem_Table[],18,FALSE)</f>
        <v>n.a.</v>
      </c>
      <c r="AF76" s="38" t="str">
        <f>VLOOKUP(Table3[[#This Row],[Marker Name / Summenformel]],PhysChem_Table[],19,FALSE)</f>
        <v>n.a.</v>
      </c>
      <c r="AG76" s="38" t="str">
        <f>VLOOKUP(Table3[[#This Row],[Marker Name / Summenformel]],PhysChem_Table[],20,FALSE)</f>
        <v>n.a.</v>
      </c>
      <c r="AH76" s="38" t="str">
        <f>VLOOKUP(Table3[[#This Row],[Marker Name / Summenformel]],PhysChem_Table[],21,FALSE)</f>
        <v>n.r.</v>
      </c>
      <c r="AI76" s="38" t="str">
        <f>VLOOKUP(Table3[[#This Row],[Marker Name / Summenformel]],PhysChem_Table[],22,FALSE)</f>
        <v>n.r.</v>
      </c>
      <c r="AJ76" s="38" t="str">
        <f>VLOOKUP(Table3[[#This Row],[Marker Name / Summenformel]],PhysChem_Table[],23,FALSE)</f>
        <v>n.r.</v>
      </c>
      <c r="AK76" s="38" t="str">
        <f>VLOOKUP(Table3[[#This Row],[Marker Name / Summenformel]],PhysChem_Table[],24,FALSE)</f>
        <v>n.r.</v>
      </c>
      <c r="AL76" s="38" t="str">
        <f>VLOOKUP(Table3[[#This Row],[Marker Name / Summenformel]],PhysChem_Table[],25,FALSE)</f>
        <v>no flammability</v>
      </c>
      <c r="AM76" s="38" t="str">
        <f>VLOOKUP(Table3[[#This Row],[Marker Name / Summenformel]],PhysChem_Table[],26,FALSE)</f>
        <v>n.r.</v>
      </c>
      <c r="AN76" s="38" t="str">
        <f>VLOOKUP(Table3[[#This Row],[Marker Name / Summenformel]],PhysChem_Table[],27,FALSE)</f>
        <v>n.r.</v>
      </c>
      <c r="AO76" s="38" t="str">
        <f>VLOOKUP(Table3[[#This Row],[Marker Name / Summenformel]],PhysChem_Table[],28,FALSE)</f>
        <v>n.r.</v>
      </c>
      <c r="AP76" s="38" t="str">
        <f>VLOOKUP(Table3[[#This Row],[Marker Name / Summenformel]],PhysChem_Table[],29,FALSE)</f>
        <v>n.a.</v>
      </c>
      <c r="AQ76" s="38" t="str">
        <f>VLOOKUP(Table3[[#This Row],[Marker Name / Summenformel]],PhysChem_Table[],30,FALSE)</f>
        <v>n.a.</v>
      </c>
      <c r="AR76" s="38" t="str">
        <f>VLOOKUP(Table3[[#This Row],[Marker Name / Summenformel]],PhysChem_Table[],31,FALSE)</f>
        <v>n.a.</v>
      </c>
      <c r="AS76" s="38" t="str">
        <f>VLOOKUP(Table3[[#This Row],[Marker Name / Summenformel]],PhysChem_Table[],32,FALSE)</f>
        <v>n.r.</v>
      </c>
      <c r="AT76" s="38" t="str">
        <f>VLOOKUP(Table3[[#This Row],[Marker Name / Summenformel]],PhysChem_Table[],33,FALSE)</f>
        <v>n.r.</v>
      </c>
      <c r="AU76" s="38" t="str">
        <f>VLOOKUP(Table3[[#This Row],[Marker Name / Summenformel]],PhysChem_Table[],34,FALSE)</f>
        <v>https://echa.europa.eu/de/registration-dossier/-/registered-dossier/13534/4/23</v>
      </c>
      <c r="AV76" s="10">
        <f>VLOOKUP(Table3[[#This Row],[Marker Name / Summenformel]],PhysChem_Table[],35,FALSE)</f>
        <v>0</v>
      </c>
    </row>
    <row r="77" spans="1:48" x14ac:dyDescent="0.3">
      <c r="A77" s="10" t="s">
        <v>573</v>
      </c>
      <c r="B77" s="38" t="str">
        <f>VLOOKUP(Table3[[#This Row],[Marker Name / Summenformel]],BaseInfos_Table[],2,FALSE)</f>
        <v>metal oxide</v>
      </c>
      <c r="C77" s="38" t="str">
        <f>VLOOKUP(Table3[[#This Row],[Marker Name / Summenformel]],BaseInfos_Table[],3,FALSE)</f>
        <v>1314-13-2</v>
      </c>
      <c r="D77" s="38" t="str">
        <f>VLOOKUP(Table3[[#This Row],[Marker Name / Summenformel]],BaseInfos_Table[],4,FALSE)</f>
        <v>215-222-5</v>
      </c>
      <c r="E77" s="38" t="str">
        <f>VLOOKUP(Table3[[#This Row],[Marker Name / Summenformel]],BaseInfos_Table[],5,FALSE)</f>
        <v>Bezati et al. 2011 / Resources Conservation &amp; Recycling</v>
      </c>
      <c r="F77" s="38" t="str">
        <f>VLOOKUP(Table3[[#This Row],[Marker Name / Summenformel]],BaseInfos_Table[],6,FALSE)</f>
        <v>XRF</v>
      </c>
      <c r="G77" s="38" t="str">
        <f>VLOOKUP(Table3[[#This Row],[Marker Name / Summenformel]],BaseInfos_Table[],7,FALSE)</f>
        <v>Y</v>
      </c>
      <c r="H77" s="38">
        <f>VLOOKUP(Table3[[#This Row],[Marker Name / Summenformel]],BaseInfos_Table[],8,FALSE)</f>
        <v>1000000</v>
      </c>
      <c r="I77" s="38" t="str">
        <f>VLOOKUP(Table3[[#This Row],[Marker Name / Summenformel]],BaseInfos_Table[],9,FALSE)</f>
        <v>https://echa.europa.eu/de/substance-information/-/substanceinfo/100.013.839</v>
      </c>
      <c r="J77" s="38" t="str">
        <f>VLOOKUP(Table3[[#This Row],[Marker Name / Summenformel]],BaseInfos_Table[],10,FALSE)</f>
        <v>https://www.sigmaaldrich.com/AT/de/substance/zincoxide81391314132</v>
      </c>
      <c r="K77" s="38">
        <f>VLOOKUP(Table3[[#This Row],[Marker Name / Summenformel]],BaseInfos_Table[],11,FALSE)</f>
        <v>0</v>
      </c>
      <c r="L77" s="10" t="str">
        <f>VLOOKUP(Table3[[#This Row],[Marker Name / Summenformel]],GHS_Table[#All],3,FALSE)</f>
        <v>REACH</v>
      </c>
      <c r="M77" s="10">
        <f>VLOOKUP(Table3[[#This Row],[Marker Name / Summenformel]],GHS_Table[#All],4,FALSE)</f>
        <v>1</v>
      </c>
      <c r="N77" s="10">
        <f>VLOOKUP(Table3[[#This Row],[Marker Name / Summenformel]],GHS_Table[#All],5,FALSE)</f>
        <v>2</v>
      </c>
      <c r="O77" s="10">
        <f>VLOOKUP(Table3[[#This Row],[Marker Name / Summenformel]],GHS_Table[#All],6,FALSE)</f>
        <v>2</v>
      </c>
      <c r="P77" s="38" t="str">
        <f>VLOOKUP(Table3[[#This Row],[Marker Name / Summenformel]],PhysChem_Table[],3,FALSE)</f>
        <v>solid: powder</v>
      </c>
      <c r="Q77" s="38" t="str">
        <f>VLOOKUP(Table3[[#This Row],[Marker Name / Summenformel]],PhysChem_Table[],4,FALSE)</f>
        <v>white</v>
      </c>
      <c r="R77" s="38">
        <f>VLOOKUP(Table3[[#This Row],[Marker Name / Summenformel]],PhysChem_Table[],5,FALSE)</f>
        <v>1975</v>
      </c>
      <c r="S77" s="38">
        <f>VLOOKUP(Table3[[#This Row],[Marker Name / Summenformel]],PhysChem_Table[],6,FALSE)</f>
        <v>101.325</v>
      </c>
      <c r="T77" s="38" t="str">
        <f>VLOOKUP(Table3[[#This Row],[Marker Name / Summenformel]],PhysChem_Table[],7,FALSE)</f>
        <v>n.r.</v>
      </c>
      <c r="U77" s="38" t="str">
        <f>VLOOKUP(Table3[[#This Row],[Marker Name / Summenformel]],PhysChem_Table[],8,FALSE)</f>
        <v>n.r.</v>
      </c>
      <c r="V77" s="38">
        <f>VLOOKUP(Table3[[#This Row],[Marker Name / Summenformel]],PhysChem_Table[],9,FALSE)</f>
        <v>5.68</v>
      </c>
      <c r="W77" s="38">
        <f>VLOOKUP(Table3[[#This Row],[Marker Name / Summenformel]],PhysChem_Table[],10,FALSE)</f>
        <v>20</v>
      </c>
      <c r="X77" s="38" t="str">
        <f>VLOOKUP(Table3[[#This Row],[Marker Name / Summenformel]],PhysChem_Table[],11,FALSE)</f>
        <v>1.05 um</v>
      </c>
      <c r="Y77" s="38" t="str">
        <f>VLOOKUP(Table3[[#This Row],[Marker Name / Summenformel]],PhysChem_Table[],12,FALSE)</f>
        <v>n.r.</v>
      </c>
      <c r="Z77" s="38" t="str">
        <f>VLOOKUP(Table3[[#This Row],[Marker Name / Summenformel]],PhysChem_Table[],13,FALSE)</f>
        <v>n.r.</v>
      </c>
      <c r="AA77" s="38" t="str">
        <f>VLOOKUP(Table3[[#This Row],[Marker Name / Summenformel]],PhysChem_Table[],14,FALSE)</f>
        <v>n.r.</v>
      </c>
      <c r="AB77" s="38" t="str">
        <f>VLOOKUP(Table3[[#This Row],[Marker Name / Summenformel]],PhysChem_Table[],15,FALSE)</f>
        <v>n.r.</v>
      </c>
      <c r="AC77" s="38">
        <f>VLOOKUP(Table3[[#This Row],[Marker Name / Summenformel]],PhysChem_Table[],16,FALSE)</f>
        <v>2.8999999999999998E-3</v>
      </c>
      <c r="AD77" s="38">
        <f>VLOOKUP(Table3[[#This Row],[Marker Name / Summenformel]],PhysChem_Table[],17,FALSE)</f>
        <v>20</v>
      </c>
      <c r="AE77" s="38" t="str">
        <f>VLOOKUP(Table3[[#This Row],[Marker Name / Summenformel]],PhysChem_Table[],18,FALSE)</f>
        <v>n.a.</v>
      </c>
      <c r="AF77" s="38" t="str">
        <f>VLOOKUP(Table3[[#This Row],[Marker Name / Summenformel]],PhysChem_Table[],19,FALSE)</f>
        <v>n.a.</v>
      </c>
      <c r="AG77" s="38" t="str">
        <f>VLOOKUP(Table3[[#This Row],[Marker Name / Summenformel]],PhysChem_Table[],20,FALSE)</f>
        <v>n.a.</v>
      </c>
      <c r="AH77" s="38" t="str">
        <f>VLOOKUP(Table3[[#This Row],[Marker Name / Summenformel]],PhysChem_Table[],21,FALSE)</f>
        <v>n.r.</v>
      </c>
      <c r="AI77" s="38" t="str">
        <f>VLOOKUP(Table3[[#This Row],[Marker Name / Summenformel]],PhysChem_Table[],22,FALSE)</f>
        <v>n.r.</v>
      </c>
      <c r="AJ77" s="38" t="str">
        <f>VLOOKUP(Table3[[#This Row],[Marker Name / Summenformel]],PhysChem_Table[],23,FALSE)</f>
        <v>n.r.</v>
      </c>
      <c r="AK77" s="38" t="str">
        <f>VLOOKUP(Table3[[#This Row],[Marker Name / Summenformel]],PhysChem_Table[],24,FALSE)</f>
        <v>n.r.</v>
      </c>
      <c r="AL77" s="38" t="str">
        <f>VLOOKUP(Table3[[#This Row],[Marker Name / Summenformel]],PhysChem_Table[],25,FALSE)</f>
        <v>n.r.</v>
      </c>
      <c r="AM77" s="38" t="str">
        <f>VLOOKUP(Table3[[#This Row],[Marker Name / Summenformel]],PhysChem_Table[],26,FALSE)</f>
        <v>n.r.</v>
      </c>
      <c r="AN77" s="38" t="str">
        <f>VLOOKUP(Table3[[#This Row],[Marker Name / Summenformel]],PhysChem_Table[],27,FALSE)</f>
        <v>non oxidising</v>
      </c>
      <c r="AO77" s="38" t="str">
        <f>VLOOKUP(Table3[[#This Row],[Marker Name / Summenformel]],PhysChem_Table[],28,FALSE)</f>
        <v>n.r.</v>
      </c>
      <c r="AP77" s="38" t="str">
        <f>VLOOKUP(Table3[[#This Row],[Marker Name / Summenformel]],PhysChem_Table[],29,FALSE)</f>
        <v>n.a.</v>
      </c>
      <c r="AQ77" s="38" t="str">
        <f>VLOOKUP(Table3[[#This Row],[Marker Name / Summenformel]],PhysChem_Table[],30,FALSE)</f>
        <v>n.a.</v>
      </c>
      <c r="AR77" s="38">
        <f>VLOOKUP(Table3[[#This Row],[Marker Name / Summenformel]],PhysChem_Table[],31,FALSE)</f>
        <v>6.72</v>
      </c>
      <c r="AS77" s="38" t="str">
        <f>VLOOKUP(Table3[[#This Row],[Marker Name / Summenformel]],PhysChem_Table[],32,FALSE)</f>
        <v>n.r.</v>
      </c>
      <c r="AT77" s="38" t="str">
        <f>VLOOKUP(Table3[[#This Row],[Marker Name / Summenformel]],PhysChem_Table[],33,FALSE)</f>
        <v>n.r.</v>
      </c>
      <c r="AU77" s="38" t="str">
        <f>VLOOKUP(Table3[[#This Row],[Marker Name / Summenformel]],PhysChem_Table[],34,FALSE)</f>
        <v>https://echa.europa.eu/de/registration-dossier/-/registered-dossier/16139/4/23</v>
      </c>
      <c r="AV77" s="10">
        <f>VLOOKUP(Table3[[#This Row],[Marker Name / Summenformel]],PhysChem_Table[],35,FALSE)</f>
        <v>0</v>
      </c>
    </row>
    <row r="78" spans="1:48" x14ac:dyDescent="0.3">
      <c r="A78" s="10" t="s">
        <v>713</v>
      </c>
      <c r="B78" s="38" t="str">
        <f>VLOOKUP(Table3[[#This Row],[Marker Name / Summenformel]],BaseInfos_Table[],2,FALSE)</f>
        <v>metal oxide</v>
      </c>
      <c r="C78" s="38" t="str">
        <f>VLOOKUP(Table3[[#This Row],[Marker Name / Summenformel]],BaseInfos_Table[],3,FALSE)</f>
        <v>12063-19-3</v>
      </c>
      <c r="D78" s="38" t="str">
        <f>VLOOKUP(Table3[[#This Row],[Marker Name / Summenformel]],BaseInfos_Table[],4,FALSE)</f>
        <v>235-052-5</v>
      </c>
      <c r="E78" s="38" t="str">
        <f>VLOOKUP(Table3[[#This Row],[Marker Name / Summenformel]],BaseInfos_Table[],5,FALSE)</f>
        <v>Bezati et al. 2011 / Resources Conservation &amp; Recycling</v>
      </c>
      <c r="F78" s="38" t="str">
        <f>VLOOKUP(Table3[[#This Row],[Marker Name / Summenformel]],BaseInfos_Table[],6,FALSE)</f>
        <v>XRF</v>
      </c>
      <c r="G78" s="38" t="str">
        <f>VLOOKUP(Table3[[#This Row],[Marker Name / Summenformel]],BaseInfos_Table[],7,FALSE)</f>
        <v>Y</v>
      </c>
      <c r="H78" s="38" t="str">
        <f>VLOOKUP(Table3[[#This Row],[Marker Name / Summenformel]],BaseInfos_Table[],8,FALSE)</f>
        <v>n.a.</v>
      </c>
      <c r="I78" s="38" t="str">
        <f>VLOOKUP(Table3[[#This Row],[Marker Name / Summenformel]],BaseInfos_Table[],9,FALSE)</f>
        <v>https://echa.europa.eu/de/substance-information/-/substanceinfo/100.031.853</v>
      </c>
      <c r="J78" s="38" t="str">
        <f>VLOOKUP(Table3[[#This Row],[Marker Name / Summenformel]],BaseInfos_Table[],10,FALSE)</f>
        <v>https://www.sigmaaldrich.com/AT/de/product/aldrich/633844</v>
      </c>
      <c r="K78" s="38">
        <f>VLOOKUP(Table3[[#This Row],[Marker Name / Summenformel]],BaseInfos_Table[],11,FALSE)</f>
        <v>0</v>
      </c>
      <c r="L78" s="10" t="str">
        <f>VLOOKUP(Table3[[#This Row],[Marker Name / Summenformel]],GHS_Table[#All],3,FALSE)</f>
        <v>CLP</v>
      </c>
      <c r="M78" s="10" t="str">
        <f>VLOOKUP(Table3[[#This Row],[Marker Name / Summenformel]],GHS_Table[#All],4,FALSE)</f>
        <v>n.a.</v>
      </c>
      <c r="N78" s="10">
        <f>VLOOKUP(Table3[[#This Row],[Marker Name / Summenformel]],GHS_Table[#All],5,FALSE)</f>
        <v>5</v>
      </c>
      <c r="O78" s="10">
        <f>VLOOKUP(Table3[[#This Row],[Marker Name / Summenformel]],GHS_Table[#All],6,FALSE)</f>
        <v>0</v>
      </c>
      <c r="P78" s="38" t="str">
        <f>VLOOKUP(Table3[[#This Row],[Marker Name / Summenformel]],PhysChem_Table[],3,FALSE)</f>
        <v>solid powder</v>
      </c>
      <c r="Q78" s="38" t="str">
        <f>VLOOKUP(Table3[[#This Row],[Marker Name / Summenformel]],PhysChem_Table[],4,FALSE)</f>
        <v>red brown</v>
      </c>
      <c r="R78" s="38" t="str">
        <f>VLOOKUP(Table3[[#This Row],[Marker Name / Summenformel]],PhysChem_Table[],5,FALSE)</f>
        <v>n.a.</v>
      </c>
      <c r="S78" s="38" t="str">
        <f>VLOOKUP(Table3[[#This Row],[Marker Name / Summenformel]],PhysChem_Table[],6,FALSE)</f>
        <v>n.a.</v>
      </c>
      <c r="T78" s="38" t="str">
        <f>VLOOKUP(Table3[[#This Row],[Marker Name / Summenformel]],PhysChem_Table[],7,FALSE)</f>
        <v>n.a.</v>
      </c>
      <c r="U78" s="38" t="str">
        <f>VLOOKUP(Table3[[#This Row],[Marker Name / Summenformel]],PhysChem_Table[],8,FALSE)</f>
        <v>n.a.</v>
      </c>
      <c r="V78" s="38" t="str">
        <f>VLOOKUP(Table3[[#This Row],[Marker Name / Summenformel]],PhysChem_Table[],9,FALSE)</f>
        <v>n.a.</v>
      </c>
      <c r="W78" s="38" t="str">
        <f>VLOOKUP(Table3[[#This Row],[Marker Name / Summenformel]],PhysChem_Table[],10,FALSE)</f>
        <v>n.a.</v>
      </c>
      <c r="X78" s="38" t="str">
        <f>VLOOKUP(Table3[[#This Row],[Marker Name / Summenformel]],PhysChem_Table[],11,FALSE)</f>
        <v>n.a.</v>
      </c>
      <c r="Y78" s="38" t="str">
        <f>VLOOKUP(Table3[[#This Row],[Marker Name / Summenformel]],PhysChem_Table[],12,FALSE)</f>
        <v>n.a.</v>
      </c>
      <c r="Z78" s="38" t="str">
        <f>VLOOKUP(Table3[[#This Row],[Marker Name / Summenformel]],PhysChem_Table[],13,FALSE)</f>
        <v>n.a.</v>
      </c>
      <c r="AA78" s="38" t="str">
        <f>VLOOKUP(Table3[[#This Row],[Marker Name / Summenformel]],PhysChem_Table[],14,FALSE)</f>
        <v>n.a.</v>
      </c>
      <c r="AB78" s="38" t="str">
        <f>VLOOKUP(Table3[[#This Row],[Marker Name / Summenformel]],PhysChem_Table[],15,FALSE)</f>
        <v>n.a.</v>
      </c>
      <c r="AC78" s="38" t="str">
        <f>VLOOKUP(Table3[[#This Row],[Marker Name / Summenformel]],PhysChem_Table[],16,FALSE)</f>
        <v>n.a.</v>
      </c>
      <c r="AD78" s="38" t="str">
        <f>VLOOKUP(Table3[[#This Row],[Marker Name / Summenformel]],PhysChem_Table[],17,FALSE)</f>
        <v>n.a.</v>
      </c>
      <c r="AE78" s="38" t="str">
        <f>VLOOKUP(Table3[[#This Row],[Marker Name / Summenformel]],PhysChem_Table[],18,FALSE)</f>
        <v>n.a.</v>
      </c>
      <c r="AF78" s="38" t="str">
        <f>VLOOKUP(Table3[[#This Row],[Marker Name / Summenformel]],PhysChem_Table[],19,FALSE)</f>
        <v>n.a.</v>
      </c>
      <c r="AG78" s="38" t="str">
        <f>VLOOKUP(Table3[[#This Row],[Marker Name / Summenformel]],PhysChem_Table[],20,FALSE)</f>
        <v>n.a.</v>
      </c>
      <c r="AH78" s="38" t="str">
        <f>VLOOKUP(Table3[[#This Row],[Marker Name / Summenformel]],PhysChem_Table[],21,FALSE)</f>
        <v>n.a.</v>
      </c>
      <c r="AI78" s="38" t="str">
        <f>VLOOKUP(Table3[[#This Row],[Marker Name / Summenformel]],PhysChem_Table[],22,FALSE)</f>
        <v>n.a.</v>
      </c>
      <c r="AJ78" s="38" t="str">
        <f>VLOOKUP(Table3[[#This Row],[Marker Name / Summenformel]],PhysChem_Table[],23,FALSE)</f>
        <v>n.a.</v>
      </c>
      <c r="AK78" s="38" t="str">
        <f>VLOOKUP(Table3[[#This Row],[Marker Name / Summenformel]],PhysChem_Table[],24,FALSE)</f>
        <v>n.a.</v>
      </c>
      <c r="AL78" s="38" t="str">
        <f>VLOOKUP(Table3[[#This Row],[Marker Name / Summenformel]],PhysChem_Table[],25,FALSE)</f>
        <v>n.a.</v>
      </c>
      <c r="AM78" s="38" t="str">
        <f>VLOOKUP(Table3[[#This Row],[Marker Name / Summenformel]],PhysChem_Table[],26,FALSE)</f>
        <v>n.a.</v>
      </c>
      <c r="AN78" s="38" t="str">
        <f>VLOOKUP(Table3[[#This Row],[Marker Name / Summenformel]],PhysChem_Table[],27,FALSE)</f>
        <v>n.a.</v>
      </c>
      <c r="AO78" s="38" t="str">
        <f>VLOOKUP(Table3[[#This Row],[Marker Name / Summenformel]],PhysChem_Table[],28,FALSE)</f>
        <v>n.a.</v>
      </c>
      <c r="AP78" s="38" t="str">
        <f>VLOOKUP(Table3[[#This Row],[Marker Name / Summenformel]],PhysChem_Table[],29,FALSE)</f>
        <v>n.a.</v>
      </c>
      <c r="AQ78" s="38" t="str">
        <f>VLOOKUP(Table3[[#This Row],[Marker Name / Summenformel]],PhysChem_Table[],30,FALSE)</f>
        <v>n.a.</v>
      </c>
      <c r="AR78" s="38" t="str">
        <f>VLOOKUP(Table3[[#This Row],[Marker Name / Summenformel]],PhysChem_Table[],31,FALSE)</f>
        <v>n.a.</v>
      </c>
      <c r="AS78" s="38" t="str">
        <f>VLOOKUP(Table3[[#This Row],[Marker Name / Summenformel]],PhysChem_Table[],32,FALSE)</f>
        <v>n.a.</v>
      </c>
      <c r="AT78" s="38" t="str">
        <f>VLOOKUP(Table3[[#This Row],[Marker Name / Summenformel]],PhysChem_Table[],33,FALSE)</f>
        <v>n.a.</v>
      </c>
      <c r="AU78" s="38" t="str">
        <f>VLOOKUP(Table3[[#This Row],[Marker Name / Summenformel]],PhysChem_Table[],34,FALSE)</f>
        <v>https://www.sigmaaldrich.com/AT/en/sds/aldrich/633844</v>
      </c>
      <c r="AV78" s="10">
        <f>VLOOKUP(Table3[[#This Row],[Marker Name / Summenformel]],PhysChem_Table[],35,FALSE)</f>
        <v>0</v>
      </c>
    </row>
    <row r="79" spans="1:48" x14ac:dyDescent="0.3">
      <c r="A79" s="10" t="s">
        <v>714</v>
      </c>
      <c r="B79" s="38" t="str">
        <f>VLOOKUP(Table3[[#This Row],[Marker Name / Summenformel]],BaseInfos_Table[],2,FALSE)</f>
        <v>metal oxide</v>
      </c>
      <c r="C79" s="38" t="str">
        <f>VLOOKUP(Table3[[#This Row],[Marker Name / Summenformel]],BaseInfos_Table[],3,FALSE)</f>
        <v>1309-37-1</v>
      </c>
      <c r="D79" s="38" t="str">
        <f>VLOOKUP(Table3[[#This Row],[Marker Name / Summenformel]],BaseInfos_Table[],4,FALSE)</f>
        <v>215-168-2</v>
      </c>
      <c r="E79" s="38" t="str">
        <f>VLOOKUP(Table3[[#This Row],[Marker Name / Summenformel]],BaseInfos_Table[],5,FALSE)</f>
        <v>Bezati et al. 2011 / Resources Conservation &amp; Recycling</v>
      </c>
      <c r="F79" s="38" t="str">
        <f>VLOOKUP(Table3[[#This Row],[Marker Name / Summenformel]],BaseInfos_Table[],6,FALSE)</f>
        <v>XRF</v>
      </c>
      <c r="G79" s="38" t="str">
        <f>VLOOKUP(Table3[[#This Row],[Marker Name / Summenformel]],BaseInfos_Table[],7,FALSE)</f>
        <v>Y</v>
      </c>
      <c r="H79" s="38">
        <f>VLOOKUP(Table3[[#This Row],[Marker Name / Summenformel]],BaseInfos_Table[],8,FALSE)</f>
        <v>1000000</v>
      </c>
      <c r="I79" s="38" t="str">
        <f>VLOOKUP(Table3[[#This Row],[Marker Name / Summenformel]],BaseInfos_Table[],9,FALSE)</f>
        <v>https://echa.europa.eu/de/substance-information/-/substanceinfo/100.013.790</v>
      </c>
      <c r="J79" s="38" t="str">
        <f>VLOOKUP(Table3[[#This Row],[Marker Name / Summenformel]],BaseInfos_Table[],10,FALSE)</f>
        <v>https://www.sigmaaldrich.com/AT/de/substance/ironiiioxide159691309371</v>
      </c>
      <c r="K79" s="38">
        <f>VLOOKUP(Table3[[#This Row],[Marker Name / Summenformel]],BaseInfos_Table[],11,FALSE)</f>
        <v>0</v>
      </c>
      <c r="L79" s="10" t="str">
        <f>VLOOKUP(Table3[[#This Row],[Marker Name / Summenformel]],GHS_Table[#All],3,FALSE)</f>
        <v>REACH</v>
      </c>
      <c r="M79" s="10">
        <f>VLOOKUP(Table3[[#This Row],[Marker Name / Summenformel]],GHS_Table[#All],4,FALSE)</f>
        <v>0</v>
      </c>
      <c r="N79" s="10">
        <f>VLOOKUP(Table3[[#This Row],[Marker Name / Summenformel]],GHS_Table[#All],5,FALSE)</f>
        <v>8</v>
      </c>
      <c r="O79" s="10">
        <f>VLOOKUP(Table3[[#This Row],[Marker Name / Summenformel]],GHS_Table[#All],6,FALSE)</f>
        <v>0</v>
      </c>
      <c r="P79" s="38" t="str">
        <f>VLOOKUP(Table3[[#This Row],[Marker Name / Summenformel]],PhysChem_Table[],3,FALSE)</f>
        <v>solid: powder</v>
      </c>
      <c r="Q79" s="38" t="str">
        <f>VLOOKUP(Table3[[#This Row],[Marker Name / Summenformel]],PhysChem_Table[],4,FALSE)</f>
        <v>red</v>
      </c>
      <c r="R79" s="38">
        <f>VLOOKUP(Table3[[#This Row],[Marker Name / Summenformel]],PhysChem_Table[],5,FALSE)</f>
        <v>1565</v>
      </c>
      <c r="S79" s="38">
        <f>VLOOKUP(Table3[[#This Row],[Marker Name / Summenformel]],PhysChem_Table[],6,FALSE)</f>
        <v>101.3</v>
      </c>
      <c r="T79" s="38" t="str">
        <f>VLOOKUP(Table3[[#This Row],[Marker Name / Summenformel]],PhysChem_Table[],7,FALSE)</f>
        <v>n.r.</v>
      </c>
      <c r="U79" s="38" t="str">
        <f>VLOOKUP(Table3[[#This Row],[Marker Name / Summenformel]],PhysChem_Table[],8,FALSE)</f>
        <v>n.r.</v>
      </c>
      <c r="V79" s="38">
        <f>VLOOKUP(Table3[[#This Row],[Marker Name / Summenformel]],PhysChem_Table[],9,FALSE)</f>
        <v>5.25</v>
      </c>
      <c r="W79" s="38">
        <f>VLOOKUP(Table3[[#This Row],[Marker Name / Summenformel]],PhysChem_Table[],10,FALSE)</f>
        <v>25</v>
      </c>
      <c r="X79" s="38" t="str">
        <f>VLOOKUP(Table3[[#This Row],[Marker Name / Summenformel]],PhysChem_Table[],11,FALSE)</f>
        <v>118 nm</v>
      </c>
      <c r="Y79" s="38" t="str">
        <f>VLOOKUP(Table3[[#This Row],[Marker Name / Summenformel]],PhysChem_Table[],12,FALSE)</f>
        <v>n.r.</v>
      </c>
      <c r="Z79" s="38" t="str">
        <f>VLOOKUP(Table3[[#This Row],[Marker Name / Summenformel]],PhysChem_Table[],13,FALSE)</f>
        <v>n.r.</v>
      </c>
      <c r="AA79" s="38" t="str">
        <f>VLOOKUP(Table3[[#This Row],[Marker Name / Summenformel]],PhysChem_Table[],14,FALSE)</f>
        <v>n.r.</v>
      </c>
      <c r="AB79" s="38" t="str">
        <f>VLOOKUP(Table3[[#This Row],[Marker Name / Summenformel]],PhysChem_Table[],15,FALSE)</f>
        <v>n.r.</v>
      </c>
      <c r="AC79" s="38">
        <f>VLOOKUP(Table3[[#This Row],[Marker Name / Summenformel]],PhysChem_Table[],16,FALSE)</f>
        <v>9.9999999999999995E-7</v>
      </c>
      <c r="AD79" s="38">
        <f>VLOOKUP(Table3[[#This Row],[Marker Name / Summenformel]],PhysChem_Table[],17,FALSE)</f>
        <v>20</v>
      </c>
      <c r="AE79" s="38" t="str">
        <f>VLOOKUP(Table3[[#This Row],[Marker Name / Summenformel]],PhysChem_Table[],18,FALSE)</f>
        <v>n.a.</v>
      </c>
      <c r="AF79" s="38" t="str">
        <f>VLOOKUP(Table3[[#This Row],[Marker Name / Summenformel]],PhysChem_Table[],19,FALSE)</f>
        <v>n.a.</v>
      </c>
      <c r="AG79" s="38" t="str">
        <f>VLOOKUP(Table3[[#This Row],[Marker Name / Summenformel]],PhysChem_Table[],20,FALSE)</f>
        <v>n.a.</v>
      </c>
      <c r="AH79" s="38" t="str">
        <f>VLOOKUP(Table3[[#This Row],[Marker Name / Summenformel]],PhysChem_Table[],21,FALSE)</f>
        <v>n.r.</v>
      </c>
      <c r="AI79" s="38" t="str">
        <f>VLOOKUP(Table3[[#This Row],[Marker Name / Summenformel]],PhysChem_Table[],22,FALSE)</f>
        <v>n.r.</v>
      </c>
      <c r="AJ79" s="38" t="str">
        <f>VLOOKUP(Table3[[#This Row],[Marker Name / Summenformel]],PhysChem_Table[],23,FALSE)</f>
        <v>n.r.</v>
      </c>
      <c r="AK79" s="38" t="str">
        <f>VLOOKUP(Table3[[#This Row],[Marker Name / Summenformel]],PhysChem_Table[],24,FALSE)</f>
        <v>n.r.</v>
      </c>
      <c r="AL79" s="38" t="str">
        <f>VLOOKUP(Table3[[#This Row],[Marker Name / Summenformel]],PhysChem_Table[],25,FALSE)</f>
        <v>n.r.</v>
      </c>
      <c r="AM79" s="38" t="str">
        <f>VLOOKUP(Table3[[#This Row],[Marker Name / Summenformel]],PhysChem_Table[],26,FALSE)</f>
        <v>n.r.</v>
      </c>
      <c r="AN79" s="38" t="str">
        <f>VLOOKUP(Table3[[#This Row],[Marker Name / Summenformel]],PhysChem_Table[],27,FALSE)</f>
        <v>n.r.</v>
      </c>
      <c r="AO79" s="38" t="str">
        <f>VLOOKUP(Table3[[#This Row],[Marker Name / Summenformel]],PhysChem_Table[],28,FALSE)</f>
        <v>n.r.</v>
      </c>
      <c r="AP79" s="38" t="str">
        <f>VLOOKUP(Table3[[#This Row],[Marker Name / Summenformel]],PhysChem_Table[],29,FALSE)</f>
        <v>n.a.</v>
      </c>
      <c r="AQ79" s="38" t="str">
        <f>VLOOKUP(Table3[[#This Row],[Marker Name / Summenformel]],PhysChem_Table[],30,FALSE)</f>
        <v>n.r.</v>
      </c>
      <c r="AR79" s="38" t="str">
        <f>VLOOKUP(Table3[[#This Row],[Marker Name / Summenformel]],PhysChem_Table[],31,FALSE)</f>
        <v>n.a.</v>
      </c>
      <c r="AS79" s="38" t="str">
        <f>VLOOKUP(Table3[[#This Row],[Marker Name / Summenformel]],PhysChem_Table[],32,FALSE)</f>
        <v>n.r.</v>
      </c>
      <c r="AT79" s="38" t="str">
        <f>VLOOKUP(Table3[[#This Row],[Marker Name / Summenformel]],PhysChem_Table[],33,FALSE)</f>
        <v>n.r.</v>
      </c>
      <c r="AU79" s="38" t="str">
        <f>VLOOKUP(Table3[[#This Row],[Marker Name / Summenformel]],PhysChem_Table[],34,FALSE)</f>
        <v>https://echa.europa.eu/de/registration-dossier/-/registered-dossier/15552/4/23</v>
      </c>
      <c r="AV79" s="10">
        <f>VLOOKUP(Table3[[#This Row],[Marker Name / Summenformel]],PhysChem_Table[],35,FALSE)</f>
        <v>0</v>
      </c>
    </row>
    <row r="80" spans="1:48" x14ac:dyDescent="0.3">
      <c r="A80" s="10" t="s">
        <v>715</v>
      </c>
      <c r="B80" s="38" t="str">
        <f>VLOOKUP(Table3[[#This Row],[Marker Name / Summenformel]],BaseInfos_Table[],2,FALSE)</f>
        <v>metal oxide</v>
      </c>
      <c r="C80" s="38" t="str">
        <f>VLOOKUP(Table3[[#This Row],[Marker Name / Summenformel]],BaseInfos_Table[],3,FALSE)</f>
        <v>1317-61-9</v>
      </c>
      <c r="D80" s="38" t="str">
        <f>VLOOKUP(Table3[[#This Row],[Marker Name / Summenformel]],BaseInfos_Table[],4,FALSE)</f>
        <v>215-277-5</v>
      </c>
      <c r="E80" s="38" t="str">
        <f>VLOOKUP(Table3[[#This Row],[Marker Name / Summenformel]],BaseInfos_Table[],5,FALSE)</f>
        <v>Bezati et al. 2011 / Resources Conservation &amp; Recycling</v>
      </c>
      <c r="F80" s="38" t="str">
        <f>VLOOKUP(Table3[[#This Row],[Marker Name / Summenformel]],BaseInfos_Table[],6,FALSE)</f>
        <v>XRF</v>
      </c>
      <c r="G80" s="38" t="str">
        <f>VLOOKUP(Table3[[#This Row],[Marker Name / Summenformel]],BaseInfos_Table[],7,FALSE)</f>
        <v>Y</v>
      </c>
      <c r="H80" s="38">
        <f>VLOOKUP(Table3[[#This Row],[Marker Name / Summenformel]],BaseInfos_Table[],8,FALSE)</f>
        <v>1000000</v>
      </c>
      <c r="I80" s="38" t="str">
        <f>VLOOKUP(Table3[[#This Row],[Marker Name / Summenformel]],BaseInfos_Table[],9,FALSE)</f>
        <v>https://echa.europa.eu/de/substance-information/-/substanceinfo/100.013.889</v>
      </c>
      <c r="J80" s="38" t="str">
        <f>VLOOKUP(Table3[[#This Row],[Marker Name / Summenformel]],BaseInfos_Table[],10,FALSE)</f>
        <v>https://www.sigmaaldrich.com/AT/de/substance/ironoxideiiiiimagneticnanoparticlessolution231531317619</v>
      </c>
      <c r="K80" s="38">
        <f>VLOOKUP(Table3[[#This Row],[Marker Name / Summenformel]],BaseInfos_Table[],11,FALSE)</f>
        <v>0</v>
      </c>
      <c r="L80" s="10" t="str">
        <f>VLOOKUP(Table3[[#This Row],[Marker Name / Summenformel]],GHS_Table[#All],3,FALSE)</f>
        <v>REACH</v>
      </c>
      <c r="M80" s="10">
        <f>VLOOKUP(Table3[[#This Row],[Marker Name / Summenformel]],GHS_Table[#All],4,FALSE)</f>
        <v>0</v>
      </c>
      <c r="N80" s="10">
        <f>VLOOKUP(Table3[[#This Row],[Marker Name / Summenformel]],GHS_Table[#All],5,FALSE)</f>
        <v>11</v>
      </c>
      <c r="O80" s="10">
        <f>VLOOKUP(Table3[[#This Row],[Marker Name / Summenformel]],GHS_Table[#All],6,FALSE)</f>
        <v>0</v>
      </c>
      <c r="P80" s="38" t="str">
        <f>VLOOKUP(Table3[[#This Row],[Marker Name / Summenformel]],PhysChem_Table[],3,FALSE)</f>
        <v>solid</v>
      </c>
      <c r="Q80" s="38" t="str">
        <f>VLOOKUP(Table3[[#This Row],[Marker Name / Summenformel]],PhysChem_Table[],4,FALSE)</f>
        <v>black</v>
      </c>
      <c r="R80" s="38">
        <f>VLOOKUP(Table3[[#This Row],[Marker Name / Summenformel]],PhysChem_Table[],5,FALSE)</f>
        <v>1597</v>
      </c>
      <c r="S80" s="38">
        <f>VLOOKUP(Table3[[#This Row],[Marker Name / Summenformel]],PhysChem_Table[],6,FALSE)</f>
        <v>101.325</v>
      </c>
      <c r="T80" s="38" t="str">
        <f>VLOOKUP(Table3[[#This Row],[Marker Name / Summenformel]],PhysChem_Table[],7,FALSE)</f>
        <v>n.r.</v>
      </c>
      <c r="U80" s="38" t="str">
        <f>VLOOKUP(Table3[[#This Row],[Marker Name / Summenformel]],PhysChem_Table[],8,FALSE)</f>
        <v>n.r.</v>
      </c>
      <c r="V80" s="38">
        <f>VLOOKUP(Table3[[#This Row],[Marker Name / Summenformel]],PhysChem_Table[],9,FALSE)</f>
        <v>5.17</v>
      </c>
      <c r="W80" s="38">
        <f>VLOOKUP(Table3[[#This Row],[Marker Name / Summenformel]],PhysChem_Table[],10,FALSE)</f>
        <v>20</v>
      </c>
      <c r="X80" s="38" t="str">
        <f>VLOOKUP(Table3[[#This Row],[Marker Name / Summenformel]],PhysChem_Table[],11,FALSE)</f>
        <v>100 nm</v>
      </c>
      <c r="Y80" s="38" t="str">
        <f>VLOOKUP(Table3[[#This Row],[Marker Name / Summenformel]],PhysChem_Table[],12,FALSE)</f>
        <v>n.r.</v>
      </c>
      <c r="Z80" s="38" t="str">
        <f>VLOOKUP(Table3[[#This Row],[Marker Name / Summenformel]],PhysChem_Table[],13,FALSE)</f>
        <v>n.r.</v>
      </c>
      <c r="AA80" s="38" t="str">
        <f>VLOOKUP(Table3[[#This Row],[Marker Name / Summenformel]],PhysChem_Table[],14,FALSE)</f>
        <v>n.r.</v>
      </c>
      <c r="AB80" s="38" t="str">
        <f>VLOOKUP(Table3[[#This Row],[Marker Name / Summenformel]],PhysChem_Table[],15,FALSE)</f>
        <v>n.r.</v>
      </c>
      <c r="AC80" s="38">
        <f>VLOOKUP(Table3[[#This Row],[Marker Name / Summenformel]],PhysChem_Table[],16,FALSE)</f>
        <v>9.9999999999999995E-8</v>
      </c>
      <c r="AD80" s="38">
        <f>VLOOKUP(Table3[[#This Row],[Marker Name / Summenformel]],PhysChem_Table[],17,FALSE)</f>
        <v>20</v>
      </c>
      <c r="AE80" s="38" t="str">
        <f>VLOOKUP(Table3[[#This Row],[Marker Name / Summenformel]],PhysChem_Table[],18,FALSE)</f>
        <v>n.a.</v>
      </c>
      <c r="AF80" s="38" t="str">
        <f>VLOOKUP(Table3[[#This Row],[Marker Name / Summenformel]],PhysChem_Table[],19,FALSE)</f>
        <v>n.a.</v>
      </c>
      <c r="AG80" s="38" t="str">
        <f>VLOOKUP(Table3[[#This Row],[Marker Name / Summenformel]],PhysChem_Table[],20,FALSE)</f>
        <v>n.a.</v>
      </c>
      <c r="AH80" s="38" t="str">
        <f>VLOOKUP(Table3[[#This Row],[Marker Name / Summenformel]],PhysChem_Table[],21,FALSE)</f>
        <v>n.r.</v>
      </c>
      <c r="AI80" s="38" t="str">
        <f>VLOOKUP(Table3[[#This Row],[Marker Name / Summenformel]],PhysChem_Table[],22,FALSE)</f>
        <v>n.r.</v>
      </c>
      <c r="AJ80" s="38" t="str">
        <f>VLOOKUP(Table3[[#This Row],[Marker Name / Summenformel]],PhysChem_Table[],23,FALSE)</f>
        <v>n.r.</v>
      </c>
      <c r="AK80" s="38" t="str">
        <f>VLOOKUP(Table3[[#This Row],[Marker Name / Summenformel]],PhysChem_Table[],24,FALSE)</f>
        <v>n.r.</v>
      </c>
      <c r="AL80" s="38" t="str">
        <f>VLOOKUP(Table3[[#This Row],[Marker Name / Summenformel]],PhysChem_Table[],25,FALSE)</f>
        <v>no flammability</v>
      </c>
      <c r="AM80" s="38" t="str">
        <f>VLOOKUP(Table3[[#This Row],[Marker Name / Summenformel]],PhysChem_Table[],26,FALSE)</f>
        <v>n.r.</v>
      </c>
      <c r="AN80" s="38" t="str">
        <f>VLOOKUP(Table3[[#This Row],[Marker Name / Summenformel]],PhysChem_Table[],27,FALSE)</f>
        <v>n.r.</v>
      </c>
      <c r="AO80" s="38" t="str">
        <f>VLOOKUP(Table3[[#This Row],[Marker Name / Summenformel]],PhysChem_Table[],28,FALSE)</f>
        <v>n.r.</v>
      </c>
      <c r="AP80" s="38" t="str">
        <f>VLOOKUP(Table3[[#This Row],[Marker Name / Summenformel]],PhysChem_Table[],29,FALSE)</f>
        <v>n.a.</v>
      </c>
      <c r="AQ80" s="38" t="str">
        <f>VLOOKUP(Table3[[#This Row],[Marker Name / Summenformel]],PhysChem_Table[],30,FALSE)</f>
        <v>n.r.</v>
      </c>
      <c r="AR80" s="38" t="str">
        <f>VLOOKUP(Table3[[#This Row],[Marker Name / Summenformel]],PhysChem_Table[],31,FALSE)</f>
        <v>n.a.</v>
      </c>
      <c r="AS80" s="38" t="str">
        <f>VLOOKUP(Table3[[#This Row],[Marker Name / Summenformel]],PhysChem_Table[],32,FALSE)</f>
        <v>n.r.</v>
      </c>
      <c r="AT80" s="38" t="str">
        <f>VLOOKUP(Table3[[#This Row],[Marker Name / Summenformel]],PhysChem_Table[],33,FALSE)</f>
        <v>n.r.</v>
      </c>
      <c r="AU80" s="38" t="str">
        <f>VLOOKUP(Table3[[#This Row],[Marker Name / Summenformel]],PhysChem_Table[],34,FALSE)</f>
        <v>https://echa.europa.eu/de/registration-dossier/-/registered-dossier/15989/4/23</v>
      </c>
      <c r="AV80" s="10">
        <f>VLOOKUP(Table3[[#This Row],[Marker Name / Summenformel]],PhysChem_Table[],35,FALSE)</f>
        <v>0</v>
      </c>
    </row>
    <row r="81" spans="1:48" x14ac:dyDescent="0.3">
      <c r="A81" s="10" t="s">
        <v>601</v>
      </c>
      <c r="B81" s="38" t="str">
        <f>VLOOKUP(Table3[[#This Row],[Marker Name / Summenformel]],BaseInfos_Table[],2,FALSE)</f>
        <v>fulerene oxid</v>
      </c>
      <c r="C81" s="38" t="str">
        <f>VLOOKUP(Table3[[#This Row],[Marker Name / Summenformel]],BaseInfos_Table[],3,FALSE)</f>
        <v>n.a.</v>
      </c>
      <c r="D81" s="38" t="str">
        <f>VLOOKUP(Table3[[#This Row],[Marker Name / Summenformel]],BaseInfos_Table[],4,FALSE)</f>
        <v>947-768-1/942-699-3</v>
      </c>
      <c r="E81" s="38" t="str">
        <f>VLOOKUP(Table3[[#This Row],[Marker Name / Summenformel]],BaseInfos_Table[],5,FALSE)</f>
        <v>Expert recommendation</v>
      </c>
      <c r="F81" s="38" t="str">
        <f>VLOOKUP(Table3[[#This Row],[Marker Name / Summenformel]],BaseInfos_Table[],6,FALSE)</f>
        <v>UV-Vis, IR</v>
      </c>
      <c r="G81" s="38" t="str">
        <f>VLOOKUP(Table3[[#This Row],[Marker Name / Summenformel]],BaseInfos_Table[],7,FALSE)</f>
        <v>Y</v>
      </c>
      <c r="H81" s="38">
        <f>VLOOKUP(Table3[[#This Row],[Marker Name / Summenformel]],BaseInfos_Table[],8,FALSE)</f>
        <v>100</v>
      </c>
      <c r="I81" s="38" t="str">
        <f>VLOOKUP(Table3[[#This Row],[Marker Name / Summenformel]],BaseInfos_Table[],9,FALSE)</f>
        <v>https://echa.europa.eu/de/substance-information/-/substanceinfo/100.260.251</v>
      </c>
      <c r="J81" s="38" t="str">
        <f>VLOOKUP(Table3[[#This Row],[Marker Name / Summenformel]],BaseInfos_Table[],10,FALSE)</f>
        <v>https://www.sigmaaldrich.com/AT/de/substance/grapheneoxide1234598765</v>
      </c>
      <c r="K81" s="38">
        <f>VLOOKUP(Table3[[#This Row],[Marker Name / Summenformel]],BaseInfos_Table[],11,FALSE)</f>
        <v>0</v>
      </c>
      <c r="L81" s="10" t="str">
        <f>VLOOKUP(Table3[[#This Row],[Marker Name / Summenformel]],GHS_Table[#All],3,FALSE)</f>
        <v>REACH</v>
      </c>
      <c r="M81" s="10">
        <f>VLOOKUP(Table3[[#This Row],[Marker Name / Summenformel]],GHS_Table[#All],4,FALSE)</f>
        <v>0</v>
      </c>
      <c r="N81" s="10">
        <f>VLOOKUP(Table3[[#This Row],[Marker Name / Summenformel]],GHS_Table[#All],5,FALSE)</f>
        <v>0</v>
      </c>
      <c r="O81" s="10">
        <f>VLOOKUP(Table3[[#This Row],[Marker Name / Summenformel]],GHS_Table[#All],6,FALSE)</f>
        <v>0</v>
      </c>
      <c r="P81" s="38" t="str">
        <f>VLOOKUP(Table3[[#This Row],[Marker Name / Summenformel]],PhysChem_Table[],3,FALSE)</f>
        <v>solid: powder</v>
      </c>
      <c r="Q81" s="38" t="str">
        <f>VLOOKUP(Table3[[#This Row],[Marker Name / Summenformel]],PhysChem_Table[],4,FALSE)</f>
        <v>bown</v>
      </c>
      <c r="R81" s="38">
        <f>VLOOKUP(Table3[[#This Row],[Marker Name / Summenformel]],PhysChem_Table[],5,FALSE)</f>
        <v>124</v>
      </c>
      <c r="S81" s="38" t="str">
        <f>VLOOKUP(Table3[[#This Row],[Marker Name / Summenformel]],PhysChem_Table[],6,FALSE)</f>
        <v>n.s.</v>
      </c>
      <c r="T81" s="38" t="str">
        <f>VLOOKUP(Table3[[#This Row],[Marker Name / Summenformel]],PhysChem_Table[],7,FALSE)</f>
        <v>n.r.</v>
      </c>
      <c r="U81" s="38" t="str">
        <f>VLOOKUP(Table3[[#This Row],[Marker Name / Summenformel]],PhysChem_Table[],8,FALSE)</f>
        <v>n.r.</v>
      </c>
      <c r="V81" s="38">
        <f>VLOOKUP(Table3[[#This Row],[Marker Name / Summenformel]],PhysChem_Table[],9,FALSE)</f>
        <v>1.3</v>
      </c>
      <c r="W81" s="38">
        <f>VLOOKUP(Table3[[#This Row],[Marker Name / Summenformel]],PhysChem_Table[],10,FALSE)</f>
        <v>20</v>
      </c>
      <c r="X81" s="38" t="str">
        <f>VLOOKUP(Table3[[#This Row],[Marker Name / Summenformel]],PhysChem_Table[],11,FALSE)</f>
        <v>44-250 um</v>
      </c>
      <c r="Y81" s="38" t="str">
        <f>VLOOKUP(Table3[[#This Row],[Marker Name / Summenformel]],PhysChem_Table[],12,FALSE)</f>
        <v>n.r.</v>
      </c>
      <c r="Z81" s="38" t="str">
        <f>VLOOKUP(Table3[[#This Row],[Marker Name / Summenformel]],PhysChem_Table[],13,FALSE)</f>
        <v>n.r.</v>
      </c>
      <c r="AA81" s="38" t="str">
        <f>VLOOKUP(Table3[[#This Row],[Marker Name / Summenformel]],PhysChem_Table[],14,FALSE)</f>
        <v>n.r.</v>
      </c>
      <c r="AB81" s="38" t="str">
        <f>VLOOKUP(Table3[[#This Row],[Marker Name / Summenformel]],PhysChem_Table[],15,FALSE)</f>
        <v>n.r.</v>
      </c>
      <c r="AC81" s="38">
        <f>VLOOKUP(Table3[[#This Row],[Marker Name / Summenformel]],PhysChem_Table[],16,FALSE)</f>
        <v>0.4</v>
      </c>
      <c r="AD81" s="38">
        <f>VLOOKUP(Table3[[#This Row],[Marker Name / Summenformel]],PhysChem_Table[],17,FALSE)</f>
        <v>20</v>
      </c>
      <c r="AE81" s="38" t="str">
        <f>VLOOKUP(Table3[[#This Row],[Marker Name / Summenformel]],PhysChem_Table[],18,FALSE)</f>
        <v>n.a.</v>
      </c>
      <c r="AF81" s="38" t="str">
        <f>VLOOKUP(Table3[[#This Row],[Marker Name / Summenformel]],PhysChem_Table[],19,FALSE)</f>
        <v>n.a.</v>
      </c>
      <c r="AG81" s="38" t="str">
        <f>VLOOKUP(Table3[[#This Row],[Marker Name / Summenformel]],PhysChem_Table[],20,FALSE)</f>
        <v>n.a.</v>
      </c>
      <c r="AH81" s="38" t="str">
        <f>VLOOKUP(Table3[[#This Row],[Marker Name / Summenformel]],PhysChem_Table[],21,FALSE)</f>
        <v>n.r.</v>
      </c>
      <c r="AI81" s="38" t="str">
        <f>VLOOKUP(Table3[[#This Row],[Marker Name / Summenformel]],PhysChem_Table[],22,FALSE)</f>
        <v>n.r.</v>
      </c>
      <c r="AJ81" s="38" t="str">
        <f>VLOOKUP(Table3[[#This Row],[Marker Name / Summenformel]],PhysChem_Table[],23,FALSE)</f>
        <v>n.r.</v>
      </c>
      <c r="AK81" s="38" t="str">
        <f>VLOOKUP(Table3[[#This Row],[Marker Name / Summenformel]],PhysChem_Table[],24,FALSE)</f>
        <v>N</v>
      </c>
      <c r="AL81" s="38" t="str">
        <f>VLOOKUP(Table3[[#This Row],[Marker Name / Summenformel]],PhysChem_Table[],25,FALSE)</f>
        <v>no flammability</v>
      </c>
      <c r="AM81" s="38" t="str">
        <f>VLOOKUP(Table3[[#This Row],[Marker Name / Summenformel]],PhysChem_Table[],26,FALSE)</f>
        <v>n.r.</v>
      </c>
      <c r="AN81" s="38" t="str">
        <f>VLOOKUP(Table3[[#This Row],[Marker Name / Summenformel]],PhysChem_Table[],27,FALSE)</f>
        <v>n.r.</v>
      </c>
      <c r="AO81" s="38" t="str">
        <f>VLOOKUP(Table3[[#This Row],[Marker Name / Summenformel]],PhysChem_Table[],28,FALSE)</f>
        <v>n.a.</v>
      </c>
      <c r="AP81" s="38" t="str">
        <f>VLOOKUP(Table3[[#This Row],[Marker Name / Summenformel]],PhysChem_Table[],29,FALSE)</f>
        <v>n.a.</v>
      </c>
      <c r="AQ81" s="38" t="str">
        <f>VLOOKUP(Table3[[#This Row],[Marker Name / Summenformel]],PhysChem_Table[],30,FALSE)</f>
        <v>n.a.</v>
      </c>
      <c r="AR81" s="38" t="str">
        <f>VLOOKUP(Table3[[#This Row],[Marker Name / Summenformel]],PhysChem_Table[],31,FALSE)</f>
        <v>n.a.</v>
      </c>
      <c r="AS81" s="38" t="str">
        <f>VLOOKUP(Table3[[#This Row],[Marker Name / Summenformel]],PhysChem_Table[],32,FALSE)</f>
        <v>n.a.</v>
      </c>
      <c r="AT81" s="38" t="str">
        <f>VLOOKUP(Table3[[#This Row],[Marker Name / Summenformel]],PhysChem_Table[],33,FALSE)</f>
        <v>n.a.</v>
      </c>
      <c r="AU81" s="38" t="str">
        <f>VLOOKUP(Table3[[#This Row],[Marker Name / Summenformel]],PhysChem_Table[],34,FALSE)</f>
        <v>https://echa.europa.eu/de/registration-dossier/-/registered-dossier/27774/4/16</v>
      </c>
      <c r="AV81" s="10">
        <f>VLOOKUP(Table3[[#This Row],[Marker Name / Summenformel]],PhysChem_Table[],35,FALSE)</f>
        <v>0</v>
      </c>
    </row>
    <row r="82" spans="1:48" x14ac:dyDescent="0.3">
      <c r="A82" s="10" t="s">
        <v>602</v>
      </c>
      <c r="B82" s="38" t="str">
        <f>VLOOKUP(Table3[[#This Row],[Marker Name / Summenformel]],BaseInfos_Table[],2,FALSE)</f>
        <v>fulerene QDs</v>
      </c>
      <c r="C82" s="38" t="str">
        <f>VLOOKUP(Table3[[#This Row],[Marker Name / Summenformel]],BaseInfos_Table[],3,FALSE)</f>
        <v>7440-44-0</v>
      </c>
      <c r="D82" s="38" t="str">
        <f>VLOOKUP(Table3[[#This Row],[Marker Name / Summenformel]],BaseInfos_Table[],4,FALSE)</f>
        <v>931-328-0</v>
      </c>
      <c r="E82" s="38" t="str">
        <f>VLOOKUP(Table3[[#This Row],[Marker Name / Summenformel]],BaseInfos_Table[],5,FALSE)</f>
        <v>Expert recommendation</v>
      </c>
      <c r="F82" s="38" t="str">
        <f>VLOOKUP(Table3[[#This Row],[Marker Name / Summenformel]],BaseInfos_Table[],6,FALSE)</f>
        <v>UV-Vis, IR</v>
      </c>
      <c r="G82" s="38" t="str">
        <f>VLOOKUP(Table3[[#This Row],[Marker Name / Summenformel]],BaseInfos_Table[],7,FALSE)</f>
        <v>Y</v>
      </c>
      <c r="H82" s="38">
        <f>VLOOKUP(Table3[[#This Row],[Marker Name / Summenformel]],BaseInfos_Table[],8,FALSE)</f>
        <v>1000000</v>
      </c>
      <c r="I82" s="38" t="str">
        <f>VLOOKUP(Table3[[#This Row],[Marker Name / Summenformel]],BaseInfos_Table[],9,FALSE)</f>
        <v>https://echa.europa.eu/de/substance-information/-/substanceinfo/100.157.949</v>
      </c>
      <c r="J82" s="38" t="str">
        <f>VLOOKUP(Table3[[#This Row],[Marker Name / Summenformel]],BaseInfos_Table[],10,FALSE)</f>
        <v>https://www.sigmaaldrich.com/AT/de/substance/graphenequantumdots123457440440</v>
      </c>
      <c r="K82" s="38">
        <f>VLOOKUP(Table3[[#This Row],[Marker Name / Summenformel]],BaseInfos_Table[],11,FALSE)</f>
        <v>0</v>
      </c>
      <c r="L82" s="10" t="str">
        <f>VLOOKUP(Table3[[#This Row],[Marker Name / Summenformel]],GHS_Table[#All],3,FALSE)</f>
        <v>REACH</v>
      </c>
      <c r="M82" s="10">
        <f>VLOOKUP(Table3[[#This Row],[Marker Name / Summenformel]],GHS_Table[#All],4,FALSE)</f>
        <v>0</v>
      </c>
      <c r="N82" s="10">
        <f>VLOOKUP(Table3[[#This Row],[Marker Name / Summenformel]],GHS_Table[#All],5,FALSE)</f>
        <v>1</v>
      </c>
      <c r="O82" s="10">
        <f>VLOOKUP(Table3[[#This Row],[Marker Name / Summenformel]],GHS_Table[#All],6,FALSE)</f>
        <v>0</v>
      </c>
      <c r="P82" s="38" t="str">
        <f>VLOOKUP(Table3[[#This Row],[Marker Name / Summenformel]],PhysChem_Table[],3,FALSE)</f>
        <v>solid: powder</v>
      </c>
      <c r="Q82" s="38" t="str">
        <f>VLOOKUP(Table3[[#This Row],[Marker Name / Summenformel]],PhysChem_Table[],4,FALSE)</f>
        <v>black</v>
      </c>
      <c r="R82" s="38" t="str">
        <f>VLOOKUP(Table3[[#This Row],[Marker Name / Summenformel]],PhysChem_Table[],5,FALSE)</f>
        <v>n.r.</v>
      </c>
      <c r="S82" s="38" t="str">
        <f>VLOOKUP(Table3[[#This Row],[Marker Name / Summenformel]],PhysChem_Table[],6,FALSE)</f>
        <v>n.r.</v>
      </c>
      <c r="T82" s="38" t="str">
        <f>VLOOKUP(Table3[[#This Row],[Marker Name / Summenformel]],PhysChem_Table[],7,FALSE)</f>
        <v>n.r.</v>
      </c>
      <c r="U82" s="38" t="str">
        <f>VLOOKUP(Table3[[#This Row],[Marker Name / Summenformel]],PhysChem_Table[],8,FALSE)</f>
        <v>n.r.</v>
      </c>
      <c r="V82" s="38">
        <f>VLOOKUP(Table3[[#This Row],[Marker Name / Summenformel]],PhysChem_Table[],9,FALSE)</f>
        <v>2.31</v>
      </c>
      <c r="W82" s="38">
        <f>VLOOKUP(Table3[[#This Row],[Marker Name / Summenformel]],PhysChem_Table[],10,FALSE)</f>
        <v>20</v>
      </c>
      <c r="X82" s="38" t="str">
        <f>VLOOKUP(Table3[[#This Row],[Marker Name / Summenformel]],PhysChem_Table[],11,FALSE)</f>
        <v>20.5 um</v>
      </c>
      <c r="Y82" s="38" t="str">
        <f>VLOOKUP(Table3[[#This Row],[Marker Name / Summenformel]],PhysChem_Table[],12,FALSE)</f>
        <v>n.r.</v>
      </c>
      <c r="Z82" s="38" t="str">
        <f>VLOOKUP(Table3[[#This Row],[Marker Name / Summenformel]],PhysChem_Table[],13,FALSE)</f>
        <v>n.r.</v>
      </c>
      <c r="AA82" s="38" t="str">
        <f>VLOOKUP(Table3[[#This Row],[Marker Name / Summenformel]],PhysChem_Table[],14,FALSE)</f>
        <v>n.r.</v>
      </c>
      <c r="AB82" s="38" t="str">
        <f>VLOOKUP(Table3[[#This Row],[Marker Name / Summenformel]],PhysChem_Table[],15,FALSE)</f>
        <v>n.r.</v>
      </c>
      <c r="AC82" s="38">
        <f>VLOOKUP(Table3[[#This Row],[Marker Name / Summenformel]],PhysChem_Table[],16,FALSE)</f>
        <v>1E-4</v>
      </c>
      <c r="AD82" s="38">
        <f>VLOOKUP(Table3[[#This Row],[Marker Name / Summenformel]],PhysChem_Table[],17,FALSE)</f>
        <v>20</v>
      </c>
      <c r="AE82" s="38" t="str">
        <f>VLOOKUP(Table3[[#This Row],[Marker Name / Summenformel]],PhysChem_Table[],18,FALSE)</f>
        <v>n.a.</v>
      </c>
      <c r="AF82" s="38" t="str">
        <f>VLOOKUP(Table3[[#This Row],[Marker Name / Summenformel]],PhysChem_Table[],19,FALSE)</f>
        <v>n.a.</v>
      </c>
      <c r="AG82" s="38" t="str">
        <f>VLOOKUP(Table3[[#This Row],[Marker Name / Summenformel]],PhysChem_Table[],20,FALSE)</f>
        <v>n.a.</v>
      </c>
      <c r="AH82" s="38" t="str">
        <f>VLOOKUP(Table3[[#This Row],[Marker Name / Summenformel]],PhysChem_Table[],21,FALSE)</f>
        <v>n.r.</v>
      </c>
      <c r="AI82" s="38" t="str">
        <f>VLOOKUP(Table3[[#This Row],[Marker Name / Summenformel]],PhysChem_Table[],22,FALSE)</f>
        <v>n.r.</v>
      </c>
      <c r="AJ82" s="38" t="str">
        <f>VLOOKUP(Table3[[#This Row],[Marker Name / Summenformel]],PhysChem_Table[],23,FALSE)</f>
        <v>n.r.</v>
      </c>
      <c r="AK82" s="38" t="str">
        <f>VLOOKUP(Table3[[#This Row],[Marker Name / Summenformel]],PhysChem_Table[],24,FALSE)</f>
        <v>N</v>
      </c>
      <c r="AL82" s="38" t="str">
        <f>VLOOKUP(Table3[[#This Row],[Marker Name / Summenformel]],PhysChem_Table[],25,FALSE)</f>
        <v>no flammability</v>
      </c>
      <c r="AM82" s="38" t="str">
        <f>VLOOKUP(Table3[[#This Row],[Marker Name / Summenformel]],PhysChem_Table[],26,FALSE)</f>
        <v>n.r.</v>
      </c>
      <c r="AN82" s="38" t="str">
        <f>VLOOKUP(Table3[[#This Row],[Marker Name / Summenformel]],PhysChem_Table[],27,FALSE)</f>
        <v>n.r.</v>
      </c>
      <c r="AO82" s="38" t="str">
        <f>VLOOKUP(Table3[[#This Row],[Marker Name / Summenformel]],PhysChem_Table[],28,FALSE)</f>
        <v>n.r.</v>
      </c>
      <c r="AP82" s="38" t="str">
        <f>VLOOKUP(Table3[[#This Row],[Marker Name / Summenformel]],PhysChem_Table[],29,FALSE)</f>
        <v>n.a.</v>
      </c>
      <c r="AQ82" s="38" t="str">
        <f>VLOOKUP(Table3[[#This Row],[Marker Name / Summenformel]],PhysChem_Table[],30,FALSE)</f>
        <v>n.a.</v>
      </c>
      <c r="AR82" s="38" t="str">
        <f>VLOOKUP(Table3[[#This Row],[Marker Name / Summenformel]],PhysChem_Table[],31,FALSE)</f>
        <v>n.a.</v>
      </c>
      <c r="AS82" s="38" t="str">
        <f>VLOOKUP(Table3[[#This Row],[Marker Name / Summenformel]],PhysChem_Table[],32,FALSE)</f>
        <v>n.r.</v>
      </c>
      <c r="AT82" s="38" t="str">
        <f>VLOOKUP(Table3[[#This Row],[Marker Name / Summenformel]],PhysChem_Table[],33,FALSE)</f>
        <v>n.r.</v>
      </c>
      <c r="AU82" s="38" t="str">
        <f>VLOOKUP(Table3[[#This Row],[Marker Name / Summenformel]],PhysChem_Table[],34,FALSE)</f>
        <v>https://echa.europa.eu/de/registration-dossier/-/registered-dossier/15441/4/23</v>
      </c>
      <c r="AV82" s="10">
        <f>VLOOKUP(Table3[[#This Row],[Marker Name / Summenformel]],PhysChem_Table[],35,FALSE)</f>
        <v>0</v>
      </c>
    </row>
    <row r="83" spans="1:48" x14ac:dyDescent="0.3">
      <c r="A83" s="10"/>
      <c r="B83" s="38" t="e">
        <f>VLOOKUP(Table3[[#This Row],[Marker Name / Summenformel]],BaseInfos_Table[],2,FALSE)</f>
        <v>#N/A</v>
      </c>
      <c r="C83" s="38" t="e">
        <f>VLOOKUP(Table3[[#This Row],[Marker Name / Summenformel]],BaseInfos_Table[],3,FALSE)</f>
        <v>#N/A</v>
      </c>
      <c r="D83" s="38" t="e">
        <f>VLOOKUP(Table3[[#This Row],[Marker Name / Summenformel]],BaseInfos_Table[],4,FALSE)</f>
        <v>#N/A</v>
      </c>
      <c r="E83" s="38" t="e">
        <f>VLOOKUP(Table3[[#This Row],[Marker Name / Summenformel]],BaseInfos_Table[],5,FALSE)</f>
        <v>#N/A</v>
      </c>
      <c r="F83" s="38" t="e">
        <f>VLOOKUP(Table3[[#This Row],[Marker Name / Summenformel]],BaseInfos_Table[],6,FALSE)</f>
        <v>#N/A</v>
      </c>
      <c r="G83" s="38" t="e">
        <f>VLOOKUP(Table3[[#This Row],[Marker Name / Summenformel]],BaseInfos_Table[],7,FALSE)</f>
        <v>#N/A</v>
      </c>
      <c r="H83" s="38" t="e">
        <f>VLOOKUP(Table3[[#This Row],[Marker Name / Summenformel]],BaseInfos_Table[],8,FALSE)</f>
        <v>#N/A</v>
      </c>
      <c r="I83" s="38" t="e">
        <f>VLOOKUP(Table3[[#This Row],[Marker Name / Summenformel]],BaseInfos_Table[],9,FALSE)</f>
        <v>#N/A</v>
      </c>
      <c r="J83" s="38" t="e">
        <f>VLOOKUP(Table3[[#This Row],[Marker Name / Summenformel]],BaseInfos_Table[],10,FALSE)</f>
        <v>#N/A</v>
      </c>
      <c r="K83" s="38" t="e">
        <f>VLOOKUP(Table3[[#This Row],[Marker Name / Summenformel]],BaseInfos_Table[],11,FALSE)</f>
        <v>#N/A</v>
      </c>
      <c r="L83" s="10" t="e">
        <f>VLOOKUP(Table3[[#This Row],[Marker Name / Summenformel]],GHS_Table[#All],3,FALSE)</f>
        <v>#N/A</v>
      </c>
      <c r="M83" s="10" t="e">
        <f>VLOOKUP(Table3[[#This Row],[Marker Name / Summenformel]],GHS_Table[#All],4,FALSE)</f>
        <v>#N/A</v>
      </c>
      <c r="N83" s="10" t="e">
        <f>VLOOKUP(Table3[[#This Row],[Marker Name / Summenformel]],GHS_Table[#All],5,FALSE)</f>
        <v>#N/A</v>
      </c>
      <c r="O83" s="10" t="e">
        <f>VLOOKUP(Table3[[#This Row],[Marker Name / Summenformel]],GHS_Table[#All],6,FALSE)</f>
        <v>#N/A</v>
      </c>
      <c r="P83" s="38" t="e">
        <f>VLOOKUP(Table3[[#This Row],[Marker Name / Summenformel]],PhysChem_Table[],3,FALSE)</f>
        <v>#N/A</v>
      </c>
      <c r="Q83" s="38" t="e">
        <f>VLOOKUP(Table3[[#This Row],[Marker Name / Summenformel]],PhysChem_Table[],4,FALSE)</f>
        <v>#N/A</v>
      </c>
      <c r="R83" s="38" t="e">
        <f>VLOOKUP(Table3[[#This Row],[Marker Name / Summenformel]],PhysChem_Table[],5,FALSE)</f>
        <v>#N/A</v>
      </c>
      <c r="S83" s="38" t="e">
        <f>VLOOKUP(Table3[[#This Row],[Marker Name / Summenformel]],PhysChem_Table[],6,FALSE)</f>
        <v>#N/A</v>
      </c>
      <c r="T83" s="38" t="e">
        <f>VLOOKUP(Table3[[#This Row],[Marker Name / Summenformel]],PhysChem_Table[],7,FALSE)</f>
        <v>#N/A</v>
      </c>
      <c r="U83" s="38" t="e">
        <f>VLOOKUP(Table3[[#This Row],[Marker Name / Summenformel]],PhysChem_Table[],8,FALSE)</f>
        <v>#N/A</v>
      </c>
      <c r="V83" s="38" t="e">
        <f>VLOOKUP(Table3[[#This Row],[Marker Name / Summenformel]],PhysChem_Table[],9,FALSE)</f>
        <v>#N/A</v>
      </c>
      <c r="W83" s="38" t="e">
        <f>VLOOKUP(Table3[[#This Row],[Marker Name / Summenformel]],PhysChem_Table[],10,FALSE)</f>
        <v>#N/A</v>
      </c>
      <c r="X83" s="38" t="e">
        <f>VLOOKUP(Table3[[#This Row],[Marker Name / Summenformel]],PhysChem_Table[],11,FALSE)</f>
        <v>#N/A</v>
      </c>
      <c r="Y83" s="38" t="e">
        <f>VLOOKUP(Table3[[#This Row],[Marker Name / Summenformel]],PhysChem_Table[],12,FALSE)</f>
        <v>#N/A</v>
      </c>
      <c r="Z83" s="38" t="e">
        <f>VLOOKUP(Table3[[#This Row],[Marker Name / Summenformel]],PhysChem_Table[],13,FALSE)</f>
        <v>#N/A</v>
      </c>
      <c r="AA83" s="38" t="e">
        <f>VLOOKUP(Table3[[#This Row],[Marker Name / Summenformel]],PhysChem_Table[],14,FALSE)</f>
        <v>#N/A</v>
      </c>
      <c r="AB83" s="38" t="e">
        <f>VLOOKUP(Table3[[#This Row],[Marker Name / Summenformel]],PhysChem_Table[],15,FALSE)</f>
        <v>#N/A</v>
      </c>
      <c r="AC83" s="38" t="e">
        <f>VLOOKUP(Table3[[#This Row],[Marker Name / Summenformel]],PhysChem_Table[],16,FALSE)</f>
        <v>#N/A</v>
      </c>
      <c r="AD83" s="38" t="e">
        <f>VLOOKUP(Table3[[#This Row],[Marker Name / Summenformel]],PhysChem_Table[],17,FALSE)</f>
        <v>#N/A</v>
      </c>
      <c r="AE83" s="38" t="e">
        <f>VLOOKUP(Table3[[#This Row],[Marker Name / Summenformel]],PhysChem_Table[],18,FALSE)</f>
        <v>#N/A</v>
      </c>
      <c r="AF83" s="38" t="e">
        <f>VLOOKUP(Table3[[#This Row],[Marker Name / Summenformel]],PhysChem_Table[],19,FALSE)</f>
        <v>#N/A</v>
      </c>
      <c r="AG83" s="38" t="e">
        <f>VLOOKUP(Table3[[#This Row],[Marker Name / Summenformel]],PhysChem_Table[],20,FALSE)</f>
        <v>#N/A</v>
      </c>
      <c r="AH83" s="38" t="e">
        <f>VLOOKUP(Table3[[#This Row],[Marker Name / Summenformel]],PhysChem_Table[],21,FALSE)</f>
        <v>#N/A</v>
      </c>
      <c r="AI83" s="38" t="e">
        <f>VLOOKUP(Table3[[#This Row],[Marker Name / Summenformel]],PhysChem_Table[],22,FALSE)</f>
        <v>#N/A</v>
      </c>
      <c r="AJ83" s="38" t="e">
        <f>VLOOKUP(Table3[[#This Row],[Marker Name / Summenformel]],PhysChem_Table[],23,FALSE)</f>
        <v>#N/A</v>
      </c>
      <c r="AK83" s="38" t="e">
        <f>VLOOKUP(Table3[[#This Row],[Marker Name / Summenformel]],PhysChem_Table[],24,FALSE)</f>
        <v>#N/A</v>
      </c>
      <c r="AL83" s="38" t="e">
        <f>VLOOKUP(Table3[[#This Row],[Marker Name / Summenformel]],PhysChem_Table[],25,FALSE)</f>
        <v>#N/A</v>
      </c>
      <c r="AM83" s="38" t="e">
        <f>VLOOKUP(Table3[[#This Row],[Marker Name / Summenformel]],PhysChem_Table[],26,FALSE)</f>
        <v>#N/A</v>
      </c>
      <c r="AN83" s="38" t="e">
        <f>VLOOKUP(Table3[[#This Row],[Marker Name / Summenformel]],PhysChem_Table[],27,FALSE)</f>
        <v>#N/A</v>
      </c>
      <c r="AO83" s="38" t="e">
        <f>VLOOKUP(Table3[[#This Row],[Marker Name / Summenformel]],PhysChem_Table[],28,FALSE)</f>
        <v>#N/A</v>
      </c>
      <c r="AP83" s="38" t="e">
        <f>VLOOKUP(Table3[[#This Row],[Marker Name / Summenformel]],PhysChem_Table[],29,FALSE)</f>
        <v>#N/A</v>
      </c>
      <c r="AQ83" s="38" t="e">
        <f>VLOOKUP(Table3[[#This Row],[Marker Name / Summenformel]],PhysChem_Table[],30,FALSE)</f>
        <v>#N/A</v>
      </c>
      <c r="AR83" s="38" t="e">
        <f>VLOOKUP(Table3[[#This Row],[Marker Name / Summenformel]],PhysChem_Table[],31,FALSE)</f>
        <v>#N/A</v>
      </c>
      <c r="AS83" s="38" t="e">
        <f>VLOOKUP(Table3[[#This Row],[Marker Name / Summenformel]],PhysChem_Table[],32,FALSE)</f>
        <v>#N/A</v>
      </c>
      <c r="AT83" s="38" t="e">
        <f>VLOOKUP(Table3[[#This Row],[Marker Name / Summenformel]],PhysChem_Table[],33,FALSE)</f>
        <v>#N/A</v>
      </c>
      <c r="AU83" s="38" t="e">
        <f>VLOOKUP(Table3[[#This Row],[Marker Name / Summenformel]],PhysChem_Table[],34,FALSE)</f>
        <v>#N/A</v>
      </c>
      <c r="AV83" s="10" t="e">
        <f>VLOOKUP(Table3[[#This Row],[Marker Name / Summenformel]],PhysChem_Table[],35,FALSE)</f>
        <v>#N/A</v>
      </c>
    </row>
    <row r="84" spans="1:48" x14ac:dyDescent="0.3">
      <c r="A84" s="10"/>
      <c r="B84" s="38" t="e">
        <f>VLOOKUP(Table3[[#This Row],[Marker Name / Summenformel]],BaseInfos_Table[],2,FALSE)</f>
        <v>#N/A</v>
      </c>
      <c r="C84" s="38" t="e">
        <f>VLOOKUP(Table3[[#This Row],[Marker Name / Summenformel]],BaseInfos_Table[],3,FALSE)</f>
        <v>#N/A</v>
      </c>
      <c r="D84" s="38" t="e">
        <f>VLOOKUP(Table3[[#This Row],[Marker Name / Summenformel]],BaseInfos_Table[],4,FALSE)</f>
        <v>#N/A</v>
      </c>
      <c r="E84" s="38" t="e">
        <f>VLOOKUP(Table3[[#This Row],[Marker Name / Summenformel]],BaseInfos_Table[],5,FALSE)</f>
        <v>#N/A</v>
      </c>
      <c r="F84" s="38" t="e">
        <f>VLOOKUP(Table3[[#This Row],[Marker Name / Summenformel]],BaseInfos_Table[],6,FALSE)</f>
        <v>#N/A</v>
      </c>
      <c r="G84" s="38" t="e">
        <f>VLOOKUP(Table3[[#This Row],[Marker Name / Summenformel]],BaseInfos_Table[],7,FALSE)</f>
        <v>#N/A</v>
      </c>
      <c r="H84" s="38" t="e">
        <f>VLOOKUP(Table3[[#This Row],[Marker Name / Summenformel]],BaseInfos_Table[],8,FALSE)</f>
        <v>#N/A</v>
      </c>
      <c r="I84" s="38" t="e">
        <f>VLOOKUP(Table3[[#This Row],[Marker Name / Summenformel]],BaseInfos_Table[],9,FALSE)</f>
        <v>#N/A</v>
      </c>
      <c r="J84" s="38" t="e">
        <f>VLOOKUP(Table3[[#This Row],[Marker Name / Summenformel]],BaseInfos_Table[],10,FALSE)</f>
        <v>#N/A</v>
      </c>
      <c r="K84" s="38" t="e">
        <f>VLOOKUP(Table3[[#This Row],[Marker Name / Summenformel]],BaseInfos_Table[],11,FALSE)</f>
        <v>#N/A</v>
      </c>
      <c r="L84" s="10" t="e">
        <f>VLOOKUP(Table3[[#This Row],[Marker Name / Summenformel]],GHS_Table[#All],3,FALSE)</f>
        <v>#N/A</v>
      </c>
      <c r="M84" s="10" t="e">
        <f>VLOOKUP(Table3[[#This Row],[Marker Name / Summenformel]],GHS_Table[#All],4,FALSE)</f>
        <v>#N/A</v>
      </c>
      <c r="N84" s="10" t="e">
        <f>VLOOKUP(Table3[[#This Row],[Marker Name / Summenformel]],GHS_Table[#All],5,FALSE)</f>
        <v>#N/A</v>
      </c>
      <c r="O84" s="10" t="e">
        <f>VLOOKUP(Table3[[#This Row],[Marker Name / Summenformel]],GHS_Table[#All],6,FALSE)</f>
        <v>#N/A</v>
      </c>
      <c r="P84" s="38" t="e">
        <f>VLOOKUP(Table3[[#This Row],[Marker Name / Summenformel]],PhysChem_Table[],3,FALSE)</f>
        <v>#N/A</v>
      </c>
      <c r="Q84" s="38" t="e">
        <f>VLOOKUP(Table3[[#This Row],[Marker Name / Summenformel]],PhysChem_Table[],4,FALSE)</f>
        <v>#N/A</v>
      </c>
      <c r="R84" s="38" t="e">
        <f>VLOOKUP(Table3[[#This Row],[Marker Name / Summenformel]],PhysChem_Table[],5,FALSE)</f>
        <v>#N/A</v>
      </c>
      <c r="S84" s="38" t="e">
        <f>VLOOKUP(Table3[[#This Row],[Marker Name / Summenformel]],PhysChem_Table[],6,FALSE)</f>
        <v>#N/A</v>
      </c>
      <c r="T84" s="38" t="e">
        <f>VLOOKUP(Table3[[#This Row],[Marker Name / Summenformel]],PhysChem_Table[],7,FALSE)</f>
        <v>#N/A</v>
      </c>
      <c r="U84" s="38" t="e">
        <f>VLOOKUP(Table3[[#This Row],[Marker Name / Summenformel]],PhysChem_Table[],8,FALSE)</f>
        <v>#N/A</v>
      </c>
      <c r="V84" s="38" t="e">
        <f>VLOOKUP(Table3[[#This Row],[Marker Name / Summenformel]],PhysChem_Table[],9,FALSE)</f>
        <v>#N/A</v>
      </c>
      <c r="W84" s="38" t="e">
        <f>VLOOKUP(Table3[[#This Row],[Marker Name / Summenformel]],PhysChem_Table[],10,FALSE)</f>
        <v>#N/A</v>
      </c>
      <c r="X84" s="38" t="e">
        <f>VLOOKUP(Table3[[#This Row],[Marker Name / Summenformel]],PhysChem_Table[],11,FALSE)</f>
        <v>#N/A</v>
      </c>
      <c r="Y84" s="38" t="e">
        <f>VLOOKUP(Table3[[#This Row],[Marker Name / Summenformel]],PhysChem_Table[],12,FALSE)</f>
        <v>#N/A</v>
      </c>
      <c r="Z84" s="38" t="e">
        <f>VLOOKUP(Table3[[#This Row],[Marker Name / Summenformel]],PhysChem_Table[],13,FALSE)</f>
        <v>#N/A</v>
      </c>
      <c r="AA84" s="38" t="e">
        <f>VLOOKUP(Table3[[#This Row],[Marker Name / Summenformel]],PhysChem_Table[],14,FALSE)</f>
        <v>#N/A</v>
      </c>
      <c r="AB84" s="38" t="e">
        <f>VLOOKUP(Table3[[#This Row],[Marker Name / Summenformel]],PhysChem_Table[],15,FALSE)</f>
        <v>#N/A</v>
      </c>
      <c r="AC84" s="38" t="e">
        <f>VLOOKUP(Table3[[#This Row],[Marker Name / Summenformel]],PhysChem_Table[],16,FALSE)</f>
        <v>#N/A</v>
      </c>
      <c r="AD84" s="38" t="e">
        <f>VLOOKUP(Table3[[#This Row],[Marker Name / Summenformel]],PhysChem_Table[],17,FALSE)</f>
        <v>#N/A</v>
      </c>
      <c r="AE84" s="38" t="e">
        <f>VLOOKUP(Table3[[#This Row],[Marker Name / Summenformel]],PhysChem_Table[],18,FALSE)</f>
        <v>#N/A</v>
      </c>
      <c r="AF84" s="38" t="e">
        <f>VLOOKUP(Table3[[#This Row],[Marker Name / Summenformel]],PhysChem_Table[],19,FALSE)</f>
        <v>#N/A</v>
      </c>
      <c r="AG84" s="38" t="e">
        <f>VLOOKUP(Table3[[#This Row],[Marker Name / Summenformel]],PhysChem_Table[],20,FALSE)</f>
        <v>#N/A</v>
      </c>
      <c r="AH84" s="38" t="e">
        <f>VLOOKUP(Table3[[#This Row],[Marker Name / Summenformel]],PhysChem_Table[],21,FALSE)</f>
        <v>#N/A</v>
      </c>
      <c r="AI84" s="38" t="e">
        <f>VLOOKUP(Table3[[#This Row],[Marker Name / Summenformel]],PhysChem_Table[],22,FALSE)</f>
        <v>#N/A</v>
      </c>
      <c r="AJ84" s="38" t="e">
        <f>VLOOKUP(Table3[[#This Row],[Marker Name / Summenformel]],PhysChem_Table[],23,FALSE)</f>
        <v>#N/A</v>
      </c>
      <c r="AK84" s="38" t="e">
        <f>VLOOKUP(Table3[[#This Row],[Marker Name / Summenformel]],PhysChem_Table[],24,FALSE)</f>
        <v>#N/A</v>
      </c>
      <c r="AL84" s="38" t="e">
        <f>VLOOKUP(Table3[[#This Row],[Marker Name / Summenformel]],PhysChem_Table[],25,FALSE)</f>
        <v>#N/A</v>
      </c>
      <c r="AM84" s="38" t="e">
        <f>VLOOKUP(Table3[[#This Row],[Marker Name / Summenformel]],PhysChem_Table[],26,FALSE)</f>
        <v>#N/A</v>
      </c>
      <c r="AN84" s="38" t="e">
        <f>VLOOKUP(Table3[[#This Row],[Marker Name / Summenformel]],PhysChem_Table[],27,FALSE)</f>
        <v>#N/A</v>
      </c>
      <c r="AO84" s="38" t="e">
        <f>VLOOKUP(Table3[[#This Row],[Marker Name / Summenformel]],PhysChem_Table[],28,FALSE)</f>
        <v>#N/A</v>
      </c>
      <c r="AP84" s="38" t="e">
        <f>VLOOKUP(Table3[[#This Row],[Marker Name / Summenformel]],PhysChem_Table[],29,FALSE)</f>
        <v>#N/A</v>
      </c>
      <c r="AQ84" s="38" t="e">
        <f>VLOOKUP(Table3[[#This Row],[Marker Name / Summenformel]],PhysChem_Table[],30,FALSE)</f>
        <v>#N/A</v>
      </c>
      <c r="AR84" s="38" t="e">
        <f>VLOOKUP(Table3[[#This Row],[Marker Name / Summenformel]],PhysChem_Table[],31,FALSE)</f>
        <v>#N/A</v>
      </c>
      <c r="AS84" s="38" t="e">
        <f>VLOOKUP(Table3[[#This Row],[Marker Name / Summenformel]],PhysChem_Table[],32,FALSE)</f>
        <v>#N/A</v>
      </c>
      <c r="AT84" s="38" t="e">
        <f>VLOOKUP(Table3[[#This Row],[Marker Name / Summenformel]],PhysChem_Table[],33,FALSE)</f>
        <v>#N/A</v>
      </c>
      <c r="AU84" s="38" t="e">
        <f>VLOOKUP(Table3[[#This Row],[Marker Name / Summenformel]],PhysChem_Table[],34,FALSE)</f>
        <v>#N/A</v>
      </c>
      <c r="AV84" s="10" t="e">
        <f>VLOOKUP(Table3[[#This Row],[Marker Name / Summenformel]],PhysChem_Table[],35,FALSE)</f>
        <v>#N/A</v>
      </c>
    </row>
    <row r="85" spans="1:48" x14ac:dyDescent="0.3">
      <c r="A85" s="10"/>
      <c r="B85" s="38" t="e">
        <f>VLOOKUP(Table3[[#This Row],[Marker Name / Summenformel]],BaseInfos_Table[],2,FALSE)</f>
        <v>#N/A</v>
      </c>
      <c r="C85" s="38" t="e">
        <f>VLOOKUP(Table3[[#This Row],[Marker Name / Summenformel]],BaseInfos_Table[],3,FALSE)</f>
        <v>#N/A</v>
      </c>
      <c r="D85" s="38" t="e">
        <f>VLOOKUP(Table3[[#This Row],[Marker Name / Summenformel]],BaseInfos_Table[],4,FALSE)</f>
        <v>#N/A</v>
      </c>
      <c r="E85" s="38" t="e">
        <f>VLOOKUP(Table3[[#This Row],[Marker Name / Summenformel]],BaseInfos_Table[],5,FALSE)</f>
        <v>#N/A</v>
      </c>
      <c r="F85" s="38" t="e">
        <f>VLOOKUP(Table3[[#This Row],[Marker Name / Summenformel]],BaseInfos_Table[],6,FALSE)</f>
        <v>#N/A</v>
      </c>
      <c r="G85" s="38" t="e">
        <f>VLOOKUP(Table3[[#This Row],[Marker Name / Summenformel]],BaseInfos_Table[],7,FALSE)</f>
        <v>#N/A</v>
      </c>
      <c r="H85" s="38" t="e">
        <f>VLOOKUP(Table3[[#This Row],[Marker Name / Summenformel]],BaseInfos_Table[],8,FALSE)</f>
        <v>#N/A</v>
      </c>
      <c r="I85" s="38" t="e">
        <f>VLOOKUP(Table3[[#This Row],[Marker Name / Summenformel]],BaseInfos_Table[],9,FALSE)</f>
        <v>#N/A</v>
      </c>
      <c r="J85" s="38" t="e">
        <f>VLOOKUP(Table3[[#This Row],[Marker Name / Summenformel]],BaseInfos_Table[],10,FALSE)</f>
        <v>#N/A</v>
      </c>
      <c r="K85" s="38" t="e">
        <f>VLOOKUP(Table3[[#This Row],[Marker Name / Summenformel]],BaseInfos_Table[],11,FALSE)</f>
        <v>#N/A</v>
      </c>
      <c r="L85" s="10" t="e">
        <f>VLOOKUP(Table3[[#This Row],[Marker Name / Summenformel]],GHS_Table[#All],3,FALSE)</f>
        <v>#N/A</v>
      </c>
      <c r="M85" s="10" t="e">
        <f>VLOOKUP(Table3[[#This Row],[Marker Name / Summenformel]],GHS_Table[#All],4,FALSE)</f>
        <v>#N/A</v>
      </c>
      <c r="N85" s="10" t="e">
        <f>VLOOKUP(Table3[[#This Row],[Marker Name / Summenformel]],GHS_Table[#All],5,FALSE)</f>
        <v>#N/A</v>
      </c>
      <c r="O85" s="10" t="e">
        <f>VLOOKUP(Table3[[#This Row],[Marker Name / Summenformel]],GHS_Table[#All],6,FALSE)</f>
        <v>#N/A</v>
      </c>
      <c r="P85" s="38" t="e">
        <f>VLOOKUP(Table3[[#This Row],[Marker Name / Summenformel]],PhysChem_Table[],3,FALSE)</f>
        <v>#N/A</v>
      </c>
      <c r="Q85" s="38" t="e">
        <f>VLOOKUP(Table3[[#This Row],[Marker Name / Summenformel]],PhysChem_Table[],4,FALSE)</f>
        <v>#N/A</v>
      </c>
      <c r="R85" s="38" t="e">
        <f>VLOOKUP(Table3[[#This Row],[Marker Name / Summenformel]],PhysChem_Table[],5,FALSE)</f>
        <v>#N/A</v>
      </c>
      <c r="S85" s="38" t="e">
        <f>VLOOKUP(Table3[[#This Row],[Marker Name / Summenformel]],PhysChem_Table[],6,FALSE)</f>
        <v>#N/A</v>
      </c>
      <c r="T85" s="38" t="e">
        <f>VLOOKUP(Table3[[#This Row],[Marker Name / Summenformel]],PhysChem_Table[],7,FALSE)</f>
        <v>#N/A</v>
      </c>
      <c r="U85" s="38" t="e">
        <f>VLOOKUP(Table3[[#This Row],[Marker Name / Summenformel]],PhysChem_Table[],8,FALSE)</f>
        <v>#N/A</v>
      </c>
      <c r="V85" s="38" t="e">
        <f>VLOOKUP(Table3[[#This Row],[Marker Name / Summenformel]],PhysChem_Table[],9,FALSE)</f>
        <v>#N/A</v>
      </c>
      <c r="W85" s="38" t="e">
        <f>VLOOKUP(Table3[[#This Row],[Marker Name / Summenformel]],PhysChem_Table[],10,FALSE)</f>
        <v>#N/A</v>
      </c>
      <c r="X85" s="38" t="e">
        <f>VLOOKUP(Table3[[#This Row],[Marker Name / Summenformel]],PhysChem_Table[],11,FALSE)</f>
        <v>#N/A</v>
      </c>
      <c r="Y85" s="38" t="e">
        <f>VLOOKUP(Table3[[#This Row],[Marker Name / Summenformel]],PhysChem_Table[],12,FALSE)</f>
        <v>#N/A</v>
      </c>
      <c r="Z85" s="38" t="e">
        <f>VLOOKUP(Table3[[#This Row],[Marker Name / Summenformel]],PhysChem_Table[],13,FALSE)</f>
        <v>#N/A</v>
      </c>
      <c r="AA85" s="38" t="e">
        <f>VLOOKUP(Table3[[#This Row],[Marker Name / Summenformel]],PhysChem_Table[],14,FALSE)</f>
        <v>#N/A</v>
      </c>
      <c r="AB85" s="38" t="e">
        <f>VLOOKUP(Table3[[#This Row],[Marker Name / Summenformel]],PhysChem_Table[],15,FALSE)</f>
        <v>#N/A</v>
      </c>
      <c r="AC85" s="38" t="e">
        <f>VLOOKUP(Table3[[#This Row],[Marker Name / Summenformel]],PhysChem_Table[],16,FALSE)</f>
        <v>#N/A</v>
      </c>
      <c r="AD85" s="38" t="e">
        <f>VLOOKUP(Table3[[#This Row],[Marker Name / Summenformel]],PhysChem_Table[],17,FALSE)</f>
        <v>#N/A</v>
      </c>
      <c r="AE85" s="38" t="e">
        <f>VLOOKUP(Table3[[#This Row],[Marker Name / Summenformel]],PhysChem_Table[],18,FALSE)</f>
        <v>#N/A</v>
      </c>
      <c r="AF85" s="38" t="e">
        <f>VLOOKUP(Table3[[#This Row],[Marker Name / Summenformel]],PhysChem_Table[],19,FALSE)</f>
        <v>#N/A</v>
      </c>
      <c r="AG85" s="38" t="e">
        <f>VLOOKUP(Table3[[#This Row],[Marker Name / Summenformel]],PhysChem_Table[],20,FALSE)</f>
        <v>#N/A</v>
      </c>
      <c r="AH85" s="38" t="e">
        <f>VLOOKUP(Table3[[#This Row],[Marker Name / Summenformel]],PhysChem_Table[],21,FALSE)</f>
        <v>#N/A</v>
      </c>
      <c r="AI85" s="38" t="e">
        <f>VLOOKUP(Table3[[#This Row],[Marker Name / Summenformel]],PhysChem_Table[],22,FALSE)</f>
        <v>#N/A</v>
      </c>
      <c r="AJ85" s="38" t="e">
        <f>VLOOKUP(Table3[[#This Row],[Marker Name / Summenformel]],PhysChem_Table[],23,FALSE)</f>
        <v>#N/A</v>
      </c>
      <c r="AK85" s="38" t="e">
        <f>VLOOKUP(Table3[[#This Row],[Marker Name / Summenformel]],PhysChem_Table[],24,FALSE)</f>
        <v>#N/A</v>
      </c>
      <c r="AL85" s="38" t="e">
        <f>VLOOKUP(Table3[[#This Row],[Marker Name / Summenformel]],PhysChem_Table[],25,FALSE)</f>
        <v>#N/A</v>
      </c>
      <c r="AM85" s="38" t="e">
        <f>VLOOKUP(Table3[[#This Row],[Marker Name / Summenformel]],PhysChem_Table[],26,FALSE)</f>
        <v>#N/A</v>
      </c>
      <c r="AN85" s="38" t="e">
        <f>VLOOKUP(Table3[[#This Row],[Marker Name / Summenformel]],PhysChem_Table[],27,FALSE)</f>
        <v>#N/A</v>
      </c>
      <c r="AO85" s="38" t="e">
        <f>VLOOKUP(Table3[[#This Row],[Marker Name / Summenformel]],PhysChem_Table[],28,FALSE)</f>
        <v>#N/A</v>
      </c>
      <c r="AP85" s="38" t="e">
        <f>VLOOKUP(Table3[[#This Row],[Marker Name / Summenformel]],PhysChem_Table[],29,FALSE)</f>
        <v>#N/A</v>
      </c>
      <c r="AQ85" s="38" t="e">
        <f>VLOOKUP(Table3[[#This Row],[Marker Name / Summenformel]],PhysChem_Table[],30,FALSE)</f>
        <v>#N/A</v>
      </c>
      <c r="AR85" s="38" t="e">
        <f>VLOOKUP(Table3[[#This Row],[Marker Name / Summenformel]],PhysChem_Table[],31,FALSE)</f>
        <v>#N/A</v>
      </c>
      <c r="AS85" s="38" t="e">
        <f>VLOOKUP(Table3[[#This Row],[Marker Name / Summenformel]],PhysChem_Table[],32,FALSE)</f>
        <v>#N/A</v>
      </c>
      <c r="AT85" s="38" t="e">
        <f>VLOOKUP(Table3[[#This Row],[Marker Name / Summenformel]],PhysChem_Table[],33,FALSE)</f>
        <v>#N/A</v>
      </c>
      <c r="AU85" s="38" t="e">
        <f>VLOOKUP(Table3[[#This Row],[Marker Name / Summenformel]],PhysChem_Table[],34,FALSE)</f>
        <v>#N/A</v>
      </c>
      <c r="AV85" s="10" t="e">
        <f>VLOOKUP(Table3[[#This Row],[Marker Name / Summenformel]],PhysChem_Table[],35,FALSE)</f>
        <v>#N/A</v>
      </c>
    </row>
    <row r="86" spans="1:48" x14ac:dyDescent="0.3">
      <c r="A86" s="10"/>
      <c r="B86" s="38" t="e">
        <f>VLOOKUP(Table3[[#This Row],[Marker Name / Summenformel]],BaseInfos_Table[],2,FALSE)</f>
        <v>#N/A</v>
      </c>
      <c r="C86" s="38" t="e">
        <f>VLOOKUP(Table3[[#This Row],[Marker Name / Summenformel]],BaseInfos_Table[],3,FALSE)</f>
        <v>#N/A</v>
      </c>
      <c r="D86" s="38" t="e">
        <f>VLOOKUP(Table3[[#This Row],[Marker Name / Summenformel]],BaseInfos_Table[],4,FALSE)</f>
        <v>#N/A</v>
      </c>
      <c r="E86" s="38" t="e">
        <f>VLOOKUP(Table3[[#This Row],[Marker Name / Summenformel]],BaseInfos_Table[],5,FALSE)</f>
        <v>#N/A</v>
      </c>
      <c r="F86" s="38" t="e">
        <f>VLOOKUP(Table3[[#This Row],[Marker Name / Summenformel]],BaseInfos_Table[],6,FALSE)</f>
        <v>#N/A</v>
      </c>
      <c r="G86" s="38" t="e">
        <f>VLOOKUP(Table3[[#This Row],[Marker Name / Summenformel]],BaseInfos_Table[],7,FALSE)</f>
        <v>#N/A</v>
      </c>
      <c r="H86" s="38" t="e">
        <f>VLOOKUP(Table3[[#This Row],[Marker Name / Summenformel]],BaseInfos_Table[],8,FALSE)</f>
        <v>#N/A</v>
      </c>
      <c r="I86" s="38" t="e">
        <f>VLOOKUP(Table3[[#This Row],[Marker Name / Summenformel]],BaseInfos_Table[],9,FALSE)</f>
        <v>#N/A</v>
      </c>
      <c r="J86" s="38" t="e">
        <f>VLOOKUP(Table3[[#This Row],[Marker Name / Summenformel]],BaseInfos_Table[],10,FALSE)</f>
        <v>#N/A</v>
      </c>
      <c r="K86" s="38" t="e">
        <f>VLOOKUP(Table3[[#This Row],[Marker Name / Summenformel]],BaseInfos_Table[],11,FALSE)</f>
        <v>#N/A</v>
      </c>
      <c r="L86" s="10" t="e">
        <f>VLOOKUP(Table3[[#This Row],[Marker Name / Summenformel]],GHS_Table[#All],3,FALSE)</f>
        <v>#N/A</v>
      </c>
      <c r="M86" s="10" t="e">
        <f>VLOOKUP(Table3[[#This Row],[Marker Name / Summenformel]],GHS_Table[#All],4,FALSE)</f>
        <v>#N/A</v>
      </c>
      <c r="N86" s="10" t="e">
        <f>VLOOKUP(Table3[[#This Row],[Marker Name / Summenformel]],GHS_Table[#All],5,FALSE)</f>
        <v>#N/A</v>
      </c>
      <c r="O86" s="10" t="e">
        <f>VLOOKUP(Table3[[#This Row],[Marker Name / Summenformel]],GHS_Table[#All],6,FALSE)</f>
        <v>#N/A</v>
      </c>
      <c r="P86" s="38" t="e">
        <f>VLOOKUP(Table3[[#This Row],[Marker Name / Summenformel]],PhysChem_Table[],3,FALSE)</f>
        <v>#N/A</v>
      </c>
      <c r="Q86" s="38" t="e">
        <f>VLOOKUP(Table3[[#This Row],[Marker Name / Summenformel]],PhysChem_Table[],4,FALSE)</f>
        <v>#N/A</v>
      </c>
      <c r="R86" s="38" t="e">
        <f>VLOOKUP(Table3[[#This Row],[Marker Name / Summenformel]],PhysChem_Table[],5,FALSE)</f>
        <v>#N/A</v>
      </c>
      <c r="S86" s="38" t="e">
        <f>VLOOKUP(Table3[[#This Row],[Marker Name / Summenformel]],PhysChem_Table[],6,FALSE)</f>
        <v>#N/A</v>
      </c>
      <c r="T86" s="38" t="e">
        <f>VLOOKUP(Table3[[#This Row],[Marker Name / Summenformel]],PhysChem_Table[],7,FALSE)</f>
        <v>#N/A</v>
      </c>
      <c r="U86" s="38" t="e">
        <f>VLOOKUP(Table3[[#This Row],[Marker Name / Summenformel]],PhysChem_Table[],8,FALSE)</f>
        <v>#N/A</v>
      </c>
      <c r="V86" s="38" t="e">
        <f>VLOOKUP(Table3[[#This Row],[Marker Name / Summenformel]],PhysChem_Table[],9,FALSE)</f>
        <v>#N/A</v>
      </c>
      <c r="W86" s="38" t="e">
        <f>VLOOKUP(Table3[[#This Row],[Marker Name / Summenformel]],PhysChem_Table[],10,FALSE)</f>
        <v>#N/A</v>
      </c>
      <c r="X86" s="38" t="e">
        <f>VLOOKUP(Table3[[#This Row],[Marker Name / Summenformel]],PhysChem_Table[],11,FALSE)</f>
        <v>#N/A</v>
      </c>
      <c r="Y86" s="38" t="e">
        <f>VLOOKUP(Table3[[#This Row],[Marker Name / Summenformel]],PhysChem_Table[],12,FALSE)</f>
        <v>#N/A</v>
      </c>
      <c r="Z86" s="38" t="e">
        <f>VLOOKUP(Table3[[#This Row],[Marker Name / Summenformel]],PhysChem_Table[],13,FALSE)</f>
        <v>#N/A</v>
      </c>
      <c r="AA86" s="38" t="e">
        <f>VLOOKUP(Table3[[#This Row],[Marker Name / Summenformel]],PhysChem_Table[],14,FALSE)</f>
        <v>#N/A</v>
      </c>
      <c r="AB86" s="38" t="e">
        <f>VLOOKUP(Table3[[#This Row],[Marker Name / Summenformel]],PhysChem_Table[],15,FALSE)</f>
        <v>#N/A</v>
      </c>
      <c r="AC86" s="38" t="e">
        <f>VLOOKUP(Table3[[#This Row],[Marker Name / Summenformel]],PhysChem_Table[],16,FALSE)</f>
        <v>#N/A</v>
      </c>
      <c r="AD86" s="38" t="e">
        <f>VLOOKUP(Table3[[#This Row],[Marker Name / Summenformel]],PhysChem_Table[],17,FALSE)</f>
        <v>#N/A</v>
      </c>
      <c r="AE86" s="38" t="e">
        <f>VLOOKUP(Table3[[#This Row],[Marker Name / Summenformel]],PhysChem_Table[],18,FALSE)</f>
        <v>#N/A</v>
      </c>
      <c r="AF86" s="38" t="e">
        <f>VLOOKUP(Table3[[#This Row],[Marker Name / Summenformel]],PhysChem_Table[],19,FALSE)</f>
        <v>#N/A</v>
      </c>
      <c r="AG86" s="38" t="e">
        <f>VLOOKUP(Table3[[#This Row],[Marker Name / Summenformel]],PhysChem_Table[],20,FALSE)</f>
        <v>#N/A</v>
      </c>
      <c r="AH86" s="38" t="e">
        <f>VLOOKUP(Table3[[#This Row],[Marker Name / Summenformel]],PhysChem_Table[],21,FALSE)</f>
        <v>#N/A</v>
      </c>
      <c r="AI86" s="38" t="e">
        <f>VLOOKUP(Table3[[#This Row],[Marker Name / Summenformel]],PhysChem_Table[],22,FALSE)</f>
        <v>#N/A</v>
      </c>
      <c r="AJ86" s="38" t="e">
        <f>VLOOKUP(Table3[[#This Row],[Marker Name / Summenformel]],PhysChem_Table[],23,FALSE)</f>
        <v>#N/A</v>
      </c>
      <c r="AK86" s="38" t="e">
        <f>VLOOKUP(Table3[[#This Row],[Marker Name / Summenformel]],PhysChem_Table[],24,FALSE)</f>
        <v>#N/A</v>
      </c>
      <c r="AL86" s="38" t="e">
        <f>VLOOKUP(Table3[[#This Row],[Marker Name / Summenformel]],PhysChem_Table[],25,FALSE)</f>
        <v>#N/A</v>
      </c>
      <c r="AM86" s="38" t="e">
        <f>VLOOKUP(Table3[[#This Row],[Marker Name / Summenformel]],PhysChem_Table[],26,FALSE)</f>
        <v>#N/A</v>
      </c>
      <c r="AN86" s="38" t="e">
        <f>VLOOKUP(Table3[[#This Row],[Marker Name / Summenformel]],PhysChem_Table[],27,FALSE)</f>
        <v>#N/A</v>
      </c>
      <c r="AO86" s="38" t="e">
        <f>VLOOKUP(Table3[[#This Row],[Marker Name / Summenformel]],PhysChem_Table[],28,FALSE)</f>
        <v>#N/A</v>
      </c>
      <c r="AP86" s="38" t="e">
        <f>VLOOKUP(Table3[[#This Row],[Marker Name / Summenformel]],PhysChem_Table[],29,FALSE)</f>
        <v>#N/A</v>
      </c>
      <c r="AQ86" s="38" t="e">
        <f>VLOOKUP(Table3[[#This Row],[Marker Name / Summenformel]],PhysChem_Table[],30,FALSE)</f>
        <v>#N/A</v>
      </c>
      <c r="AR86" s="38" t="e">
        <f>VLOOKUP(Table3[[#This Row],[Marker Name / Summenformel]],PhysChem_Table[],31,FALSE)</f>
        <v>#N/A</v>
      </c>
      <c r="AS86" s="38" t="e">
        <f>VLOOKUP(Table3[[#This Row],[Marker Name / Summenformel]],PhysChem_Table[],32,FALSE)</f>
        <v>#N/A</v>
      </c>
      <c r="AT86" s="38" t="e">
        <f>VLOOKUP(Table3[[#This Row],[Marker Name / Summenformel]],PhysChem_Table[],33,FALSE)</f>
        <v>#N/A</v>
      </c>
      <c r="AU86" s="38" t="e">
        <f>VLOOKUP(Table3[[#This Row],[Marker Name / Summenformel]],PhysChem_Table[],34,FALSE)</f>
        <v>#N/A</v>
      </c>
      <c r="AV86" s="10" t="e">
        <f>VLOOKUP(Table3[[#This Row],[Marker Name / Summenformel]],PhysChem_Table[],35,FALSE)</f>
        <v>#N/A</v>
      </c>
    </row>
    <row r="87" spans="1:48" x14ac:dyDescent="0.3">
      <c r="A87" s="10"/>
      <c r="B87" s="38" t="e">
        <f>VLOOKUP(Table3[[#This Row],[Marker Name / Summenformel]],BaseInfos_Table[],2,FALSE)</f>
        <v>#N/A</v>
      </c>
      <c r="C87" s="38" t="e">
        <f>VLOOKUP(Table3[[#This Row],[Marker Name / Summenformel]],BaseInfos_Table[],3,FALSE)</f>
        <v>#N/A</v>
      </c>
      <c r="D87" s="38" t="e">
        <f>VLOOKUP(Table3[[#This Row],[Marker Name / Summenformel]],BaseInfos_Table[],4,FALSE)</f>
        <v>#N/A</v>
      </c>
      <c r="E87" s="38" t="e">
        <f>VLOOKUP(Table3[[#This Row],[Marker Name / Summenformel]],BaseInfos_Table[],5,FALSE)</f>
        <v>#N/A</v>
      </c>
      <c r="F87" s="38" t="e">
        <f>VLOOKUP(Table3[[#This Row],[Marker Name / Summenformel]],BaseInfos_Table[],6,FALSE)</f>
        <v>#N/A</v>
      </c>
      <c r="G87" s="38" t="e">
        <f>VLOOKUP(Table3[[#This Row],[Marker Name / Summenformel]],BaseInfos_Table[],7,FALSE)</f>
        <v>#N/A</v>
      </c>
      <c r="H87" s="38" t="e">
        <f>VLOOKUP(Table3[[#This Row],[Marker Name / Summenformel]],BaseInfos_Table[],8,FALSE)</f>
        <v>#N/A</v>
      </c>
      <c r="I87" s="38" t="e">
        <f>VLOOKUP(Table3[[#This Row],[Marker Name / Summenformel]],BaseInfos_Table[],9,FALSE)</f>
        <v>#N/A</v>
      </c>
      <c r="J87" s="38" t="e">
        <f>VLOOKUP(Table3[[#This Row],[Marker Name / Summenformel]],BaseInfos_Table[],10,FALSE)</f>
        <v>#N/A</v>
      </c>
      <c r="K87" s="38" t="e">
        <f>VLOOKUP(Table3[[#This Row],[Marker Name / Summenformel]],BaseInfos_Table[],11,FALSE)</f>
        <v>#N/A</v>
      </c>
      <c r="L87" s="10" t="e">
        <f>VLOOKUP(Table3[[#This Row],[Marker Name / Summenformel]],GHS_Table[#All],3,FALSE)</f>
        <v>#N/A</v>
      </c>
      <c r="M87" s="10" t="e">
        <f>VLOOKUP(Table3[[#This Row],[Marker Name / Summenformel]],GHS_Table[#All],4,FALSE)</f>
        <v>#N/A</v>
      </c>
      <c r="N87" s="10" t="e">
        <f>VLOOKUP(Table3[[#This Row],[Marker Name / Summenformel]],GHS_Table[#All],5,FALSE)</f>
        <v>#N/A</v>
      </c>
      <c r="O87" s="10" t="e">
        <f>VLOOKUP(Table3[[#This Row],[Marker Name / Summenformel]],GHS_Table[#All],6,FALSE)</f>
        <v>#N/A</v>
      </c>
      <c r="P87" s="38" t="e">
        <f>VLOOKUP(Table3[[#This Row],[Marker Name / Summenformel]],PhysChem_Table[],3,FALSE)</f>
        <v>#N/A</v>
      </c>
      <c r="Q87" s="38" t="e">
        <f>VLOOKUP(Table3[[#This Row],[Marker Name / Summenformel]],PhysChem_Table[],4,FALSE)</f>
        <v>#N/A</v>
      </c>
      <c r="R87" s="38" t="e">
        <f>VLOOKUP(Table3[[#This Row],[Marker Name / Summenformel]],PhysChem_Table[],5,FALSE)</f>
        <v>#N/A</v>
      </c>
      <c r="S87" s="38" t="e">
        <f>VLOOKUP(Table3[[#This Row],[Marker Name / Summenformel]],PhysChem_Table[],6,FALSE)</f>
        <v>#N/A</v>
      </c>
      <c r="T87" s="38" t="e">
        <f>VLOOKUP(Table3[[#This Row],[Marker Name / Summenformel]],PhysChem_Table[],7,FALSE)</f>
        <v>#N/A</v>
      </c>
      <c r="U87" s="38" t="e">
        <f>VLOOKUP(Table3[[#This Row],[Marker Name / Summenformel]],PhysChem_Table[],8,FALSE)</f>
        <v>#N/A</v>
      </c>
      <c r="V87" s="38" t="e">
        <f>VLOOKUP(Table3[[#This Row],[Marker Name / Summenformel]],PhysChem_Table[],9,FALSE)</f>
        <v>#N/A</v>
      </c>
      <c r="W87" s="38" t="e">
        <f>VLOOKUP(Table3[[#This Row],[Marker Name / Summenformel]],PhysChem_Table[],10,FALSE)</f>
        <v>#N/A</v>
      </c>
      <c r="X87" s="38" t="e">
        <f>VLOOKUP(Table3[[#This Row],[Marker Name / Summenformel]],PhysChem_Table[],11,FALSE)</f>
        <v>#N/A</v>
      </c>
      <c r="Y87" s="38" t="e">
        <f>VLOOKUP(Table3[[#This Row],[Marker Name / Summenformel]],PhysChem_Table[],12,FALSE)</f>
        <v>#N/A</v>
      </c>
      <c r="Z87" s="38" t="e">
        <f>VLOOKUP(Table3[[#This Row],[Marker Name / Summenformel]],PhysChem_Table[],13,FALSE)</f>
        <v>#N/A</v>
      </c>
      <c r="AA87" s="38" t="e">
        <f>VLOOKUP(Table3[[#This Row],[Marker Name / Summenformel]],PhysChem_Table[],14,FALSE)</f>
        <v>#N/A</v>
      </c>
      <c r="AB87" s="38" t="e">
        <f>VLOOKUP(Table3[[#This Row],[Marker Name / Summenformel]],PhysChem_Table[],15,FALSE)</f>
        <v>#N/A</v>
      </c>
      <c r="AC87" s="38" t="e">
        <f>VLOOKUP(Table3[[#This Row],[Marker Name / Summenformel]],PhysChem_Table[],16,FALSE)</f>
        <v>#N/A</v>
      </c>
      <c r="AD87" s="38" t="e">
        <f>VLOOKUP(Table3[[#This Row],[Marker Name / Summenformel]],PhysChem_Table[],17,FALSE)</f>
        <v>#N/A</v>
      </c>
      <c r="AE87" s="38" t="e">
        <f>VLOOKUP(Table3[[#This Row],[Marker Name / Summenformel]],PhysChem_Table[],18,FALSE)</f>
        <v>#N/A</v>
      </c>
      <c r="AF87" s="38" t="e">
        <f>VLOOKUP(Table3[[#This Row],[Marker Name / Summenformel]],PhysChem_Table[],19,FALSE)</f>
        <v>#N/A</v>
      </c>
      <c r="AG87" s="38" t="e">
        <f>VLOOKUP(Table3[[#This Row],[Marker Name / Summenformel]],PhysChem_Table[],20,FALSE)</f>
        <v>#N/A</v>
      </c>
      <c r="AH87" s="38" t="e">
        <f>VLOOKUP(Table3[[#This Row],[Marker Name / Summenformel]],PhysChem_Table[],21,FALSE)</f>
        <v>#N/A</v>
      </c>
      <c r="AI87" s="38" t="e">
        <f>VLOOKUP(Table3[[#This Row],[Marker Name / Summenformel]],PhysChem_Table[],22,FALSE)</f>
        <v>#N/A</v>
      </c>
      <c r="AJ87" s="38" t="e">
        <f>VLOOKUP(Table3[[#This Row],[Marker Name / Summenformel]],PhysChem_Table[],23,FALSE)</f>
        <v>#N/A</v>
      </c>
      <c r="AK87" s="38" t="e">
        <f>VLOOKUP(Table3[[#This Row],[Marker Name / Summenformel]],PhysChem_Table[],24,FALSE)</f>
        <v>#N/A</v>
      </c>
      <c r="AL87" s="38" t="e">
        <f>VLOOKUP(Table3[[#This Row],[Marker Name / Summenformel]],PhysChem_Table[],25,FALSE)</f>
        <v>#N/A</v>
      </c>
      <c r="AM87" s="38" t="e">
        <f>VLOOKUP(Table3[[#This Row],[Marker Name / Summenformel]],PhysChem_Table[],26,FALSE)</f>
        <v>#N/A</v>
      </c>
      <c r="AN87" s="38" t="e">
        <f>VLOOKUP(Table3[[#This Row],[Marker Name / Summenformel]],PhysChem_Table[],27,FALSE)</f>
        <v>#N/A</v>
      </c>
      <c r="AO87" s="38" t="e">
        <f>VLOOKUP(Table3[[#This Row],[Marker Name / Summenformel]],PhysChem_Table[],28,FALSE)</f>
        <v>#N/A</v>
      </c>
      <c r="AP87" s="38" t="e">
        <f>VLOOKUP(Table3[[#This Row],[Marker Name / Summenformel]],PhysChem_Table[],29,FALSE)</f>
        <v>#N/A</v>
      </c>
      <c r="AQ87" s="38" t="e">
        <f>VLOOKUP(Table3[[#This Row],[Marker Name / Summenformel]],PhysChem_Table[],30,FALSE)</f>
        <v>#N/A</v>
      </c>
      <c r="AR87" s="38" t="e">
        <f>VLOOKUP(Table3[[#This Row],[Marker Name / Summenformel]],PhysChem_Table[],31,FALSE)</f>
        <v>#N/A</v>
      </c>
      <c r="AS87" s="38" t="e">
        <f>VLOOKUP(Table3[[#This Row],[Marker Name / Summenformel]],PhysChem_Table[],32,FALSE)</f>
        <v>#N/A</v>
      </c>
      <c r="AT87" s="38" t="e">
        <f>VLOOKUP(Table3[[#This Row],[Marker Name / Summenformel]],PhysChem_Table[],33,FALSE)</f>
        <v>#N/A</v>
      </c>
      <c r="AU87" s="38" t="e">
        <f>VLOOKUP(Table3[[#This Row],[Marker Name / Summenformel]],PhysChem_Table[],34,FALSE)</f>
        <v>#N/A</v>
      </c>
      <c r="AV87" s="10" t="e">
        <f>VLOOKUP(Table3[[#This Row],[Marker Name / Summenformel]],PhysChem_Table[],35,FALSE)</f>
        <v>#N/A</v>
      </c>
    </row>
    <row r="88" spans="1:48" x14ac:dyDescent="0.3">
      <c r="A88" s="10"/>
      <c r="B88" s="38" t="e">
        <f>VLOOKUP(Table3[[#This Row],[Marker Name / Summenformel]],BaseInfos_Table[],2,FALSE)</f>
        <v>#N/A</v>
      </c>
      <c r="C88" s="38" t="e">
        <f>VLOOKUP(Table3[[#This Row],[Marker Name / Summenformel]],BaseInfos_Table[],3,FALSE)</f>
        <v>#N/A</v>
      </c>
      <c r="D88" s="38" t="e">
        <f>VLOOKUP(Table3[[#This Row],[Marker Name / Summenformel]],BaseInfos_Table[],4,FALSE)</f>
        <v>#N/A</v>
      </c>
      <c r="E88" s="38" t="e">
        <f>VLOOKUP(Table3[[#This Row],[Marker Name / Summenformel]],BaseInfos_Table[],5,FALSE)</f>
        <v>#N/A</v>
      </c>
      <c r="F88" s="38" t="e">
        <f>VLOOKUP(Table3[[#This Row],[Marker Name / Summenformel]],BaseInfos_Table[],6,FALSE)</f>
        <v>#N/A</v>
      </c>
      <c r="G88" s="38" t="e">
        <f>VLOOKUP(Table3[[#This Row],[Marker Name / Summenformel]],BaseInfos_Table[],7,FALSE)</f>
        <v>#N/A</v>
      </c>
      <c r="H88" s="38" t="e">
        <f>VLOOKUP(Table3[[#This Row],[Marker Name / Summenformel]],BaseInfos_Table[],8,FALSE)</f>
        <v>#N/A</v>
      </c>
      <c r="I88" s="38" t="e">
        <f>VLOOKUP(Table3[[#This Row],[Marker Name / Summenformel]],BaseInfos_Table[],9,FALSE)</f>
        <v>#N/A</v>
      </c>
      <c r="J88" s="38" t="e">
        <f>VLOOKUP(Table3[[#This Row],[Marker Name / Summenformel]],BaseInfos_Table[],10,FALSE)</f>
        <v>#N/A</v>
      </c>
      <c r="K88" s="38" t="e">
        <f>VLOOKUP(Table3[[#This Row],[Marker Name / Summenformel]],BaseInfos_Table[],11,FALSE)</f>
        <v>#N/A</v>
      </c>
      <c r="L88" s="10" t="e">
        <f>VLOOKUP(Table3[[#This Row],[Marker Name / Summenformel]],GHS_Table[#All],3,FALSE)</f>
        <v>#N/A</v>
      </c>
      <c r="M88" s="10" t="e">
        <f>VLOOKUP(Table3[[#This Row],[Marker Name / Summenformel]],GHS_Table[#All],4,FALSE)</f>
        <v>#N/A</v>
      </c>
      <c r="N88" s="10" t="e">
        <f>VLOOKUP(Table3[[#This Row],[Marker Name / Summenformel]],GHS_Table[#All],5,FALSE)</f>
        <v>#N/A</v>
      </c>
      <c r="O88" s="10" t="e">
        <f>VLOOKUP(Table3[[#This Row],[Marker Name / Summenformel]],GHS_Table[#All],6,FALSE)</f>
        <v>#N/A</v>
      </c>
      <c r="P88" s="38" t="e">
        <f>VLOOKUP(Table3[[#This Row],[Marker Name / Summenformel]],PhysChem_Table[],3,FALSE)</f>
        <v>#N/A</v>
      </c>
      <c r="Q88" s="38" t="e">
        <f>VLOOKUP(Table3[[#This Row],[Marker Name / Summenformel]],PhysChem_Table[],4,FALSE)</f>
        <v>#N/A</v>
      </c>
      <c r="R88" s="38" t="e">
        <f>VLOOKUP(Table3[[#This Row],[Marker Name / Summenformel]],PhysChem_Table[],5,FALSE)</f>
        <v>#N/A</v>
      </c>
      <c r="S88" s="38" t="e">
        <f>VLOOKUP(Table3[[#This Row],[Marker Name / Summenformel]],PhysChem_Table[],6,FALSE)</f>
        <v>#N/A</v>
      </c>
      <c r="T88" s="38" t="e">
        <f>VLOOKUP(Table3[[#This Row],[Marker Name / Summenformel]],PhysChem_Table[],7,FALSE)</f>
        <v>#N/A</v>
      </c>
      <c r="U88" s="38" t="e">
        <f>VLOOKUP(Table3[[#This Row],[Marker Name / Summenformel]],PhysChem_Table[],8,FALSE)</f>
        <v>#N/A</v>
      </c>
      <c r="V88" s="38" t="e">
        <f>VLOOKUP(Table3[[#This Row],[Marker Name / Summenformel]],PhysChem_Table[],9,FALSE)</f>
        <v>#N/A</v>
      </c>
      <c r="W88" s="38" t="e">
        <f>VLOOKUP(Table3[[#This Row],[Marker Name / Summenformel]],PhysChem_Table[],10,FALSE)</f>
        <v>#N/A</v>
      </c>
      <c r="X88" s="38" t="e">
        <f>VLOOKUP(Table3[[#This Row],[Marker Name / Summenformel]],PhysChem_Table[],11,FALSE)</f>
        <v>#N/A</v>
      </c>
      <c r="Y88" s="38" t="e">
        <f>VLOOKUP(Table3[[#This Row],[Marker Name / Summenformel]],PhysChem_Table[],12,FALSE)</f>
        <v>#N/A</v>
      </c>
      <c r="Z88" s="38" t="e">
        <f>VLOOKUP(Table3[[#This Row],[Marker Name / Summenformel]],PhysChem_Table[],13,FALSE)</f>
        <v>#N/A</v>
      </c>
      <c r="AA88" s="38" t="e">
        <f>VLOOKUP(Table3[[#This Row],[Marker Name / Summenformel]],PhysChem_Table[],14,FALSE)</f>
        <v>#N/A</v>
      </c>
      <c r="AB88" s="38" t="e">
        <f>VLOOKUP(Table3[[#This Row],[Marker Name / Summenformel]],PhysChem_Table[],15,FALSE)</f>
        <v>#N/A</v>
      </c>
      <c r="AC88" s="38" t="e">
        <f>VLOOKUP(Table3[[#This Row],[Marker Name / Summenformel]],PhysChem_Table[],16,FALSE)</f>
        <v>#N/A</v>
      </c>
      <c r="AD88" s="38" t="e">
        <f>VLOOKUP(Table3[[#This Row],[Marker Name / Summenformel]],PhysChem_Table[],17,FALSE)</f>
        <v>#N/A</v>
      </c>
      <c r="AE88" s="38" t="e">
        <f>VLOOKUP(Table3[[#This Row],[Marker Name / Summenformel]],PhysChem_Table[],18,FALSE)</f>
        <v>#N/A</v>
      </c>
      <c r="AF88" s="38" t="e">
        <f>VLOOKUP(Table3[[#This Row],[Marker Name / Summenformel]],PhysChem_Table[],19,FALSE)</f>
        <v>#N/A</v>
      </c>
      <c r="AG88" s="38" t="e">
        <f>VLOOKUP(Table3[[#This Row],[Marker Name / Summenformel]],PhysChem_Table[],20,FALSE)</f>
        <v>#N/A</v>
      </c>
      <c r="AH88" s="38" t="e">
        <f>VLOOKUP(Table3[[#This Row],[Marker Name / Summenformel]],PhysChem_Table[],21,FALSE)</f>
        <v>#N/A</v>
      </c>
      <c r="AI88" s="38" t="e">
        <f>VLOOKUP(Table3[[#This Row],[Marker Name / Summenformel]],PhysChem_Table[],22,FALSE)</f>
        <v>#N/A</v>
      </c>
      <c r="AJ88" s="38" t="e">
        <f>VLOOKUP(Table3[[#This Row],[Marker Name / Summenformel]],PhysChem_Table[],23,FALSE)</f>
        <v>#N/A</v>
      </c>
      <c r="AK88" s="38" t="e">
        <f>VLOOKUP(Table3[[#This Row],[Marker Name / Summenformel]],PhysChem_Table[],24,FALSE)</f>
        <v>#N/A</v>
      </c>
      <c r="AL88" s="38" t="e">
        <f>VLOOKUP(Table3[[#This Row],[Marker Name / Summenformel]],PhysChem_Table[],25,FALSE)</f>
        <v>#N/A</v>
      </c>
      <c r="AM88" s="38" t="e">
        <f>VLOOKUP(Table3[[#This Row],[Marker Name / Summenformel]],PhysChem_Table[],26,FALSE)</f>
        <v>#N/A</v>
      </c>
      <c r="AN88" s="38" t="e">
        <f>VLOOKUP(Table3[[#This Row],[Marker Name / Summenformel]],PhysChem_Table[],27,FALSE)</f>
        <v>#N/A</v>
      </c>
      <c r="AO88" s="38" t="e">
        <f>VLOOKUP(Table3[[#This Row],[Marker Name / Summenformel]],PhysChem_Table[],28,FALSE)</f>
        <v>#N/A</v>
      </c>
      <c r="AP88" s="38" t="e">
        <f>VLOOKUP(Table3[[#This Row],[Marker Name / Summenformel]],PhysChem_Table[],29,FALSE)</f>
        <v>#N/A</v>
      </c>
      <c r="AQ88" s="38" t="e">
        <f>VLOOKUP(Table3[[#This Row],[Marker Name / Summenformel]],PhysChem_Table[],30,FALSE)</f>
        <v>#N/A</v>
      </c>
      <c r="AR88" s="38" t="e">
        <f>VLOOKUP(Table3[[#This Row],[Marker Name / Summenformel]],PhysChem_Table[],31,FALSE)</f>
        <v>#N/A</v>
      </c>
      <c r="AS88" s="38" t="e">
        <f>VLOOKUP(Table3[[#This Row],[Marker Name / Summenformel]],PhysChem_Table[],32,FALSE)</f>
        <v>#N/A</v>
      </c>
      <c r="AT88" s="38" t="e">
        <f>VLOOKUP(Table3[[#This Row],[Marker Name / Summenformel]],PhysChem_Table[],33,FALSE)</f>
        <v>#N/A</v>
      </c>
      <c r="AU88" s="38" t="e">
        <f>VLOOKUP(Table3[[#This Row],[Marker Name / Summenformel]],PhysChem_Table[],34,FALSE)</f>
        <v>#N/A</v>
      </c>
      <c r="AV88" s="10" t="e">
        <f>VLOOKUP(Table3[[#This Row],[Marker Name / Summenformel]],PhysChem_Table[],35,FALSE)</f>
        <v>#N/A</v>
      </c>
    </row>
    <row r="89" spans="1:48" x14ac:dyDescent="0.3">
      <c r="A89" s="10"/>
      <c r="B89" s="38" t="e">
        <f>VLOOKUP(Table3[[#This Row],[Marker Name / Summenformel]],BaseInfos_Table[],2,FALSE)</f>
        <v>#N/A</v>
      </c>
      <c r="C89" s="38" t="e">
        <f>VLOOKUP(Table3[[#This Row],[Marker Name / Summenformel]],BaseInfos_Table[],3,FALSE)</f>
        <v>#N/A</v>
      </c>
      <c r="D89" s="38" t="e">
        <f>VLOOKUP(Table3[[#This Row],[Marker Name / Summenformel]],BaseInfos_Table[],4,FALSE)</f>
        <v>#N/A</v>
      </c>
      <c r="E89" s="38" t="e">
        <f>VLOOKUP(Table3[[#This Row],[Marker Name / Summenformel]],BaseInfos_Table[],5,FALSE)</f>
        <v>#N/A</v>
      </c>
      <c r="F89" s="38" t="e">
        <f>VLOOKUP(Table3[[#This Row],[Marker Name / Summenformel]],BaseInfos_Table[],6,FALSE)</f>
        <v>#N/A</v>
      </c>
      <c r="G89" s="38" t="e">
        <f>VLOOKUP(Table3[[#This Row],[Marker Name / Summenformel]],BaseInfos_Table[],7,FALSE)</f>
        <v>#N/A</v>
      </c>
      <c r="H89" s="38" t="e">
        <f>VLOOKUP(Table3[[#This Row],[Marker Name / Summenformel]],BaseInfos_Table[],8,FALSE)</f>
        <v>#N/A</v>
      </c>
      <c r="I89" s="38" t="e">
        <f>VLOOKUP(Table3[[#This Row],[Marker Name / Summenformel]],BaseInfos_Table[],9,FALSE)</f>
        <v>#N/A</v>
      </c>
      <c r="J89" s="38" t="e">
        <f>VLOOKUP(Table3[[#This Row],[Marker Name / Summenformel]],BaseInfos_Table[],10,FALSE)</f>
        <v>#N/A</v>
      </c>
      <c r="K89" s="38" t="e">
        <f>VLOOKUP(Table3[[#This Row],[Marker Name / Summenformel]],BaseInfos_Table[],11,FALSE)</f>
        <v>#N/A</v>
      </c>
      <c r="L89" s="10" t="e">
        <f>VLOOKUP(Table3[[#This Row],[Marker Name / Summenformel]],GHS_Table[#All],3,FALSE)</f>
        <v>#N/A</v>
      </c>
      <c r="M89" s="10" t="e">
        <f>VLOOKUP(Table3[[#This Row],[Marker Name / Summenformel]],GHS_Table[#All],4,FALSE)</f>
        <v>#N/A</v>
      </c>
      <c r="N89" s="10" t="e">
        <f>VLOOKUP(Table3[[#This Row],[Marker Name / Summenformel]],GHS_Table[#All],5,FALSE)</f>
        <v>#N/A</v>
      </c>
      <c r="O89" s="10" t="e">
        <f>VLOOKUP(Table3[[#This Row],[Marker Name / Summenformel]],GHS_Table[#All],6,FALSE)</f>
        <v>#N/A</v>
      </c>
      <c r="P89" s="38" t="e">
        <f>VLOOKUP(Table3[[#This Row],[Marker Name / Summenformel]],PhysChem_Table[],3,FALSE)</f>
        <v>#N/A</v>
      </c>
      <c r="Q89" s="38" t="e">
        <f>VLOOKUP(Table3[[#This Row],[Marker Name / Summenformel]],PhysChem_Table[],4,FALSE)</f>
        <v>#N/A</v>
      </c>
      <c r="R89" s="38" t="e">
        <f>VLOOKUP(Table3[[#This Row],[Marker Name / Summenformel]],PhysChem_Table[],5,FALSE)</f>
        <v>#N/A</v>
      </c>
      <c r="S89" s="38" t="e">
        <f>VLOOKUP(Table3[[#This Row],[Marker Name / Summenformel]],PhysChem_Table[],6,FALSE)</f>
        <v>#N/A</v>
      </c>
      <c r="T89" s="38" t="e">
        <f>VLOOKUP(Table3[[#This Row],[Marker Name / Summenformel]],PhysChem_Table[],7,FALSE)</f>
        <v>#N/A</v>
      </c>
      <c r="U89" s="38" t="e">
        <f>VLOOKUP(Table3[[#This Row],[Marker Name / Summenformel]],PhysChem_Table[],8,FALSE)</f>
        <v>#N/A</v>
      </c>
      <c r="V89" s="38" t="e">
        <f>VLOOKUP(Table3[[#This Row],[Marker Name / Summenformel]],PhysChem_Table[],9,FALSE)</f>
        <v>#N/A</v>
      </c>
      <c r="W89" s="38" t="e">
        <f>VLOOKUP(Table3[[#This Row],[Marker Name / Summenformel]],PhysChem_Table[],10,FALSE)</f>
        <v>#N/A</v>
      </c>
      <c r="X89" s="38" t="e">
        <f>VLOOKUP(Table3[[#This Row],[Marker Name / Summenformel]],PhysChem_Table[],11,FALSE)</f>
        <v>#N/A</v>
      </c>
      <c r="Y89" s="38" t="e">
        <f>VLOOKUP(Table3[[#This Row],[Marker Name / Summenformel]],PhysChem_Table[],12,FALSE)</f>
        <v>#N/A</v>
      </c>
      <c r="Z89" s="38" t="e">
        <f>VLOOKUP(Table3[[#This Row],[Marker Name / Summenformel]],PhysChem_Table[],13,FALSE)</f>
        <v>#N/A</v>
      </c>
      <c r="AA89" s="38" t="e">
        <f>VLOOKUP(Table3[[#This Row],[Marker Name / Summenformel]],PhysChem_Table[],14,FALSE)</f>
        <v>#N/A</v>
      </c>
      <c r="AB89" s="38" t="e">
        <f>VLOOKUP(Table3[[#This Row],[Marker Name / Summenformel]],PhysChem_Table[],15,FALSE)</f>
        <v>#N/A</v>
      </c>
      <c r="AC89" s="38" t="e">
        <f>VLOOKUP(Table3[[#This Row],[Marker Name / Summenformel]],PhysChem_Table[],16,FALSE)</f>
        <v>#N/A</v>
      </c>
      <c r="AD89" s="38" t="e">
        <f>VLOOKUP(Table3[[#This Row],[Marker Name / Summenformel]],PhysChem_Table[],17,FALSE)</f>
        <v>#N/A</v>
      </c>
      <c r="AE89" s="38" t="e">
        <f>VLOOKUP(Table3[[#This Row],[Marker Name / Summenformel]],PhysChem_Table[],18,FALSE)</f>
        <v>#N/A</v>
      </c>
      <c r="AF89" s="38" t="e">
        <f>VLOOKUP(Table3[[#This Row],[Marker Name / Summenformel]],PhysChem_Table[],19,FALSE)</f>
        <v>#N/A</v>
      </c>
      <c r="AG89" s="38" t="e">
        <f>VLOOKUP(Table3[[#This Row],[Marker Name / Summenformel]],PhysChem_Table[],20,FALSE)</f>
        <v>#N/A</v>
      </c>
      <c r="AH89" s="38" t="e">
        <f>VLOOKUP(Table3[[#This Row],[Marker Name / Summenformel]],PhysChem_Table[],21,FALSE)</f>
        <v>#N/A</v>
      </c>
      <c r="AI89" s="38" t="e">
        <f>VLOOKUP(Table3[[#This Row],[Marker Name / Summenformel]],PhysChem_Table[],22,FALSE)</f>
        <v>#N/A</v>
      </c>
      <c r="AJ89" s="38" t="e">
        <f>VLOOKUP(Table3[[#This Row],[Marker Name / Summenformel]],PhysChem_Table[],23,FALSE)</f>
        <v>#N/A</v>
      </c>
      <c r="AK89" s="38" t="e">
        <f>VLOOKUP(Table3[[#This Row],[Marker Name / Summenformel]],PhysChem_Table[],24,FALSE)</f>
        <v>#N/A</v>
      </c>
      <c r="AL89" s="38" t="e">
        <f>VLOOKUP(Table3[[#This Row],[Marker Name / Summenformel]],PhysChem_Table[],25,FALSE)</f>
        <v>#N/A</v>
      </c>
      <c r="AM89" s="38" t="e">
        <f>VLOOKUP(Table3[[#This Row],[Marker Name / Summenformel]],PhysChem_Table[],26,FALSE)</f>
        <v>#N/A</v>
      </c>
      <c r="AN89" s="38" t="e">
        <f>VLOOKUP(Table3[[#This Row],[Marker Name / Summenformel]],PhysChem_Table[],27,FALSE)</f>
        <v>#N/A</v>
      </c>
      <c r="AO89" s="38" t="e">
        <f>VLOOKUP(Table3[[#This Row],[Marker Name / Summenformel]],PhysChem_Table[],28,FALSE)</f>
        <v>#N/A</v>
      </c>
      <c r="AP89" s="38" t="e">
        <f>VLOOKUP(Table3[[#This Row],[Marker Name / Summenformel]],PhysChem_Table[],29,FALSE)</f>
        <v>#N/A</v>
      </c>
      <c r="AQ89" s="38" t="e">
        <f>VLOOKUP(Table3[[#This Row],[Marker Name / Summenformel]],PhysChem_Table[],30,FALSE)</f>
        <v>#N/A</v>
      </c>
      <c r="AR89" s="38" t="e">
        <f>VLOOKUP(Table3[[#This Row],[Marker Name / Summenformel]],PhysChem_Table[],31,FALSE)</f>
        <v>#N/A</v>
      </c>
      <c r="AS89" s="38" t="e">
        <f>VLOOKUP(Table3[[#This Row],[Marker Name / Summenformel]],PhysChem_Table[],32,FALSE)</f>
        <v>#N/A</v>
      </c>
      <c r="AT89" s="38" t="e">
        <f>VLOOKUP(Table3[[#This Row],[Marker Name / Summenformel]],PhysChem_Table[],33,FALSE)</f>
        <v>#N/A</v>
      </c>
      <c r="AU89" s="38" t="e">
        <f>VLOOKUP(Table3[[#This Row],[Marker Name / Summenformel]],PhysChem_Table[],34,FALSE)</f>
        <v>#N/A</v>
      </c>
      <c r="AV89" s="10" t="e">
        <f>VLOOKUP(Table3[[#This Row],[Marker Name / Summenformel]],PhysChem_Table[],35,FALSE)</f>
        <v>#N/A</v>
      </c>
    </row>
    <row r="90" spans="1:48" x14ac:dyDescent="0.3">
      <c r="A90" s="10"/>
      <c r="B90" s="38" t="e">
        <f>VLOOKUP(Table3[[#This Row],[Marker Name / Summenformel]],BaseInfos_Table[],2,FALSE)</f>
        <v>#N/A</v>
      </c>
      <c r="C90" s="38" t="e">
        <f>VLOOKUP(Table3[[#This Row],[Marker Name / Summenformel]],BaseInfos_Table[],3,FALSE)</f>
        <v>#N/A</v>
      </c>
      <c r="D90" s="38" t="e">
        <f>VLOOKUP(Table3[[#This Row],[Marker Name / Summenformel]],BaseInfos_Table[],4,FALSE)</f>
        <v>#N/A</v>
      </c>
      <c r="E90" s="38" t="e">
        <f>VLOOKUP(Table3[[#This Row],[Marker Name / Summenformel]],BaseInfos_Table[],5,FALSE)</f>
        <v>#N/A</v>
      </c>
      <c r="F90" s="38" t="e">
        <f>VLOOKUP(Table3[[#This Row],[Marker Name / Summenformel]],BaseInfos_Table[],6,FALSE)</f>
        <v>#N/A</v>
      </c>
      <c r="G90" s="38" t="e">
        <f>VLOOKUP(Table3[[#This Row],[Marker Name / Summenformel]],BaseInfos_Table[],7,FALSE)</f>
        <v>#N/A</v>
      </c>
      <c r="H90" s="38" t="e">
        <f>VLOOKUP(Table3[[#This Row],[Marker Name / Summenformel]],BaseInfos_Table[],8,FALSE)</f>
        <v>#N/A</v>
      </c>
      <c r="I90" s="38" t="e">
        <f>VLOOKUP(Table3[[#This Row],[Marker Name / Summenformel]],BaseInfos_Table[],9,FALSE)</f>
        <v>#N/A</v>
      </c>
      <c r="J90" s="38" t="e">
        <f>VLOOKUP(Table3[[#This Row],[Marker Name / Summenformel]],BaseInfos_Table[],10,FALSE)</f>
        <v>#N/A</v>
      </c>
      <c r="K90" s="38" t="e">
        <f>VLOOKUP(Table3[[#This Row],[Marker Name / Summenformel]],BaseInfos_Table[],11,FALSE)</f>
        <v>#N/A</v>
      </c>
      <c r="L90" s="10" t="e">
        <f>VLOOKUP(Table3[[#This Row],[Marker Name / Summenformel]],GHS_Table[#All],3,FALSE)</f>
        <v>#N/A</v>
      </c>
      <c r="M90" s="10" t="e">
        <f>VLOOKUP(Table3[[#This Row],[Marker Name / Summenformel]],GHS_Table[#All],4,FALSE)</f>
        <v>#N/A</v>
      </c>
      <c r="N90" s="10" t="e">
        <f>VLOOKUP(Table3[[#This Row],[Marker Name / Summenformel]],GHS_Table[#All],5,FALSE)</f>
        <v>#N/A</v>
      </c>
      <c r="O90" s="10" t="e">
        <f>VLOOKUP(Table3[[#This Row],[Marker Name / Summenformel]],GHS_Table[#All],6,FALSE)</f>
        <v>#N/A</v>
      </c>
      <c r="P90" s="38" t="e">
        <f>VLOOKUP(Table3[[#This Row],[Marker Name / Summenformel]],PhysChem_Table[],3,FALSE)</f>
        <v>#N/A</v>
      </c>
      <c r="Q90" s="38" t="e">
        <f>VLOOKUP(Table3[[#This Row],[Marker Name / Summenformel]],PhysChem_Table[],4,FALSE)</f>
        <v>#N/A</v>
      </c>
      <c r="R90" s="38" t="e">
        <f>VLOOKUP(Table3[[#This Row],[Marker Name / Summenformel]],PhysChem_Table[],5,FALSE)</f>
        <v>#N/A</v>
      </c>
      <c r="S90" s="38" t="e">
        <f>VLOOKUP(Table3[[#This Row],[Marker Name / Summenformel]],PhysChem_Table[],6,FALSE)</f>
        <v>#N/A</v>
      </c>
      <c r="T90" s="38" t="e">
        <f>VLOOKUP(Table3[[#This Row],[Marker Name / Summenformel]],PhysChem_Table[],7,FALSE)</f>
        <v>#N/A</v>
      </c>
      <c r="U90" s="38" t="e">
        <f>VLOOKUP(Table3[[#This Row],[Marker Name / Summenformel]],PhysChem_Table[],8,FALSE)</f>
        <v>#N/A</v>
      </c>
      <c r="V90" s="38" t="e">
        <f>VLOOKUP(Table3[[#This Row],[Marker Name / Summenformel]],PhysChem_Table[],9,FALSE)</f>
        <v>#N/A</v>
      </c>
      <c r="W90" s="38" t="e">
        <f>VLOOKUP(Table3[[#This Row],[Marker Name / Summenformel]],PhysChem_Table[],10,FALSE)</f>
        <v>#N/A</v>
      </c>
      <c r="X90" s="38" t="e">
        <f>VLOOKUP(Table3[[#This Row],[Marker Name / Summenformel]],PhysChem_Table[],11,FALSE)</f>
        <v>#N/A</v>
      </c>
      <c r="Y90" s="38" t="e">
        <f>VLOOKUP(Table3[[#This Row],[Marker Name / Summenformel]],PhysChem_Table[],12,FALSE)</f>
        <v>#N/A</v>
      </c>
      <c r="Z90" s="38" t="e">
        <f>VLOOKUP(Table3[[#This Row],[Marker Name / Summenformel]],PhysChem_Table[],13,FALSE)</f>
        <v>#N/A</v>
      </c>
      <c r="AA90" s="38" t="e">
        <f>VLOOKUP(Table3[[#This Row],[Marker Name / Summenformel]],PhysChem_Table[],14,FALSE)</f>
        <v>#N/A</v>
      </c>
      <c r="AB90" s="38" t="e">
        <f>VLOOKUP(Table3[[#This Row],[Marker Name / Summenformel]],PhysChem_Table[],15,FALSE)</f>
        <v>#N/A</v>
      </c>
      <c r="AC90" s="38" t="e">
        <f>VLOOKUP(Table3[[#This Row],[Marker Name / Summenformel]],PhysChem_Table[],16,FALSE)</f>
        <v>#N/A</v>
      </c>
      <c r="AD90" s="38" t="e">
        <f>VLOOKUP(Table3[[#This Row],[Marker Name / Summenformel]],PhysChem_Table[],17,FALSE)</f>
        <v>#N/A</v>
      </c>
      <c r="AE90" s="38" t="e">
        <f>VLOOKUP(Table3[[#This Row],[Marker Name / Summenformel]],PhysChem_Table[],18,FALSE)</f>
        <v>#N/A</v>
      </c>
      <c r="AF90" s="38" t="e">
        <f>VLOOKUP(Table3[[#This Row],[Marker Name / Summenformel]],PhysChem_Table[],19,FALSE)</f>
        <v>#N/A</v>
      </c>
      <c r="AG90" s="38" t="e">
        <f>VLOOKUP(Table3[[#This Row],[Marker Name / Summenformel]],PhysChem_Table[],20,FALSE)</f>
        <v>#N/A</v>
      </c>
      <c r="AH90" s="38" t="e">
        <f>VLOOKUP(Table3[[#This Row],[Marker Name / Summenformel]],PhysChem_Table[],21,FALSE)</f>
        <v>#N/A</v>
      </c>
      <c r="AI90" s="38" t="e">
        <f>VLOOKUP(Table3[[#This Row],[Marker Name / Summenformel]],PhysChem_Table[],22,FALSE)</f>
        <v>#N/A</v>
      </c>
      <c r="AJ90" s="38" t="e">
        <f>VLOOKUP(Table3[[#This Row],[Marker Name / Summenformel]],PhysChem_Table[],23,FALSE)</f>
        <v>#N/A</v>
      </c>
      <c r="AK90" s="38" t="e">
        <f>VLOOKUP(Table3[[#This Row],[Marker Name / Summenformel]],PhysChem_Table[],24,FALSE)</f>
        <v>#N/A</v>
      </c>
      <c r="AL90" s="38" t="e">
        <f>VLOOKUP(Table3[[#This Row],[Marker Name / Summenformel]],PhysChem_Table[],25,FALSE)</f>
        <v>#N/A</v>
      </c>
      <c r="AM90" s="38" t="e">
        <f>VLOOKUP(Table3[[#This Row],[Marker Name / Summenformel]],PhysChem_Table[],26,FALSE)</f>
        <v>#N/A</v>
      </c>
      <c r="AN90" s="38" t="e">
        <f>VLOOKUP(Table3[[#This Row],[Marker Name / Summenformel]],PhysChem_Table[],27,FALSE)</f>
        <v>#N/A</v>
      </c>
      <c r="AO90" s="38" t="e">
        <f>VLOOKUP(Table3[[#This Row],[Marker Name / Summenformel]],PhysChem_Table[],28,FALSE)</f>
        <v>#N/A</v>
      </c>
      <c r="AP90" s="38" t="e">
        <f>VLOOKUP(Table3[[#This Row],[Marker Name / Summenformel]],PhysChem_Table[],29,FALSE)</f>
        <v>#N/A</v>
      </c>
      <c r="AQ90" s="38" t="e">
        <f>VLOOKUP(Table3[[#This Row],[Marker Name / Summenformel]],PhysChem_Table[],30,FALSE)</f>
        <v>#N/A</v>
      </c>
      <c r="AR90" s="38" t="e">
        <f>VLOOKUP(Table3[[#This Row],[Marker Name / Summenformel]],PhysChem_Table[],31,FALSE)</f>
        <v>#N/A</v>
      </c>
      <c r="AS90" s="38" t="e">
        <f>VLOOKUP(Table3[[#This Row],[Marker Name / Summenformel]],PhysChem_Table[],32,FALSE)</f>
        <v>#N/A</v>
      </c>
      <c r="AT90" s="38" t="e">
        <f>VLOOKUP(Table3[[#This Row],[Marker Name / Summenformel]],PhysChem_Table[],33,FALSE)</f>
        <v>#N/A</v>
      </c>
      <c r="AU90" s="38" t="e">
        <f>VLOOKUP(Table3[[#This Row],[Marker Name / Summenformel]],PhysChem_Table[],34,FALSE)</f>
        <v>#N/A</v>
      </c>
      <c r="AV90" s="10" t="e">
        <f>VLOOKUP(Table3[[#This Row],[Marker Name / Summenformel]],PhysChem_Table[],35,FALSE)</f>
        <v>#N/A</v>
      </c>
    </row>
    <row r="91" spans="1:48" x14ac:dyDescent="0.3">
      <c r="A91" s="10"/>
      <c r="B91" s="38" t="e">
        <f>VLOOKUP(Table3[[#This Row],[Marker Name / Summenformel]],BaseInfos_Table[],2,FALSE)</f>
        <v>#N/A</v>
      </c>
      <c r="C91" s="38" t="e">
        <f>VLOOKUP(Table3[[#This Row],[Marker Name / Summenformel]],BaseInfos_Table[],3,FALSE)</f>
        <v>#N/A</v>
      </c>
      <c r="D91" s="38" t="e">
        <f>VLOOKUP(Table3[[#This Row],[Marker Name / Summenformel]],BaseInfos_Table[],4,FALSE)</f>
        <v>#N/A</v>
      </c>
      <c r="E91" s="38" t="e">
        <f>VLOOKUP(Table3[[#This Row],[Marker Name / Summenformel]],BaseInfos_Table[],5,FALSE)</f>
        <v>#N/A</v>
      </c>
      <c r="F91" s="38" t="e">
        <f>VLOOKUP(Table3[[#This Row],[Marker Name / Summenformel]],BaseInfos_Table[],6,FALSE)</f>
        <v>#N/A</v>
      </c>
      <c r="G91" s="38" t="e">
        <f>VLOOKUP(Table3[[#This Row],[Marker Name / Summenformel]],BaseInfos_Table[],7,FALSE)</f>
        <v>#N/A</v>
      </c>
      <c r="H91" s="38" t="e">
        <f>VLOOKUP(Table3[[#This Row],[Marker Name / Summenformel]],BaseInfos_Table[],8,FALSE)</f>
        <v>#N/A</v>
      </c>
      <c r="I91" s="38" t="e">
        <f>VLOOKUP(Table3[[#This Row],[Marker Name / Summenformel]],BaseInfos_Table[],9,FALSE)</f>
        <v>#N/A</v>
      </c>
      <c r="J91" s="38" t="e">
        <f>VLOOKUP(Table3[[#This Row],[Marker Name / Summenformel]],BaseInfos_Table[],10,FALSE)</f>
        <v>#N/A</v>
      </c>
      <c r="K91" s="38" t="e">
        <f>VLOOKUP(Table3[[#This Row],[Marker Name / Summenformel]],BaseInfos_Table[],11,FALSE)</f>
        <v>#N/A</v>
      </c>
      <c r="L91" s="10" t="e">
        <f>VLOOKUP(Table3[[#This Row],[Marker Name / Summenformel]],GHS_Table[#All],3,FALSE)</f>
        <v>#N/A</v>
      </c>
      <c r="M91" s="10" t="e">
        <f>VLOOKUP(Table3[[#This Row],[Marker Name / Summenformel]],GHS_Table[#All],4,FALSE)</f>
        <v>#N/A</v>
      </c>
      <c r="N91" s="10" t="e">
        <f>VLOOKUP(Table3[[#This Row],[Marker Name / Summenformel]],GHS_Table[#All],5,FALSE)</f>
        <v>#N/A</v>
      </c>
      <c r="O91" s="10" t="e">
        <f>VLOOKUP(Table3[[#This Row],[Marker Name / Summenformel]],GHS_Table[#All],6,FALSE)</f>
        <v>#N/A</v>
      </c>
      <c r="P91" s="38" t="e">
        <f>VLOOKUP(Table3[[#This Row],[Marker Name / Summenformel]],PhysChem_Table[],3,FALSE)</f>
        <v>#N/A</v>
      </c>
      <c r="Q91" s="38" t="e">
        <f>VLOOKUP(Table3[[#This Row],[Marker Name / Summenformel]],PhysChem_Table[],4,FALSE)</f>
        <v>#N/A</v>
      </c>
      <c r="R91" s="38" t="e">
        <f>VLOOKUP(Table3[[#This Row],[Marker Name / Summenformel]],PhysChem_Table[],5,FALSE)</f>
        <v>#N/A</v>
      </c>
      <c r="S91" s="38" t="e">
        <f>VLOOKUP(Table3[[#This Row],[Marker Name / Summenformel]],PhysChem_Table[],6,FALSE)</f>
        <v>#N/A</v>
      </c>
      <c r="T91" s="38" t="e">
        <f>VLOOKUP(Table3[[#This Row],[Marker Name / Summenformel]],PhysChem_Table[],7,FALSE)</f>
        <v>#N/A</v>
      </c>
      <c r="U91" s="38" t="e">
        <f>VLOOKUP(Table3[[#This Row],[Marker Name / Summenformel]],PhysChem_Table[],8,FALSE)</f>
        <v>#N/A</v>
      </c>
      <c r="V91" s="38" t="e">
        <f>VLOOKUP(Table3[[#This Row],[Marker Name / Summenformel]],PhysChem_Table[],9,FALSE)</f>
        <v>#N/A</v>
      </c>
      <c r="W91" s="38" t="e">
        <f>VLOOKUP(Table3[[#This Row],[Marker Name / Summenformel]],PhysChem_Table[],10,FALSE)</f>
        <v>#N/A</v>
      </c>
      <c r="X91" s="38" t="e">
        <f>VLOOKUP(Table3[[#This Row],[Marker Name / Summenformel]],PhysChem_Table[],11,FALSE)</f>
        <v>#N/A</v>
      </c>
      <c r="Y91" s="38" t="e">
        <f>VLOOKUP(Table3[[#This Row],[Marker Name / Summenformel]],PhysChem_Table[],12,FALSE)</f>
        <v>#N/A</v>
      </c>
      <c r="Z91" s="38" t="e">
        <f>VLOOKUP(Table3[[#This Row],[Marker Name / Summenformel]],PhysChem_Table[],13,FALSE)</f>
        <v>#N/A</v>
      </c>
      <c r="AA91" s="38" t="e">
        <f>VLOOKUP(Table3[[#This Row],[Marker Name / Summenformel]],PhysChem_Table[],14,FALSE)</f>
        <v>#N/A</v>
      </c>
      <c r="AB91" s="38" t="e">
        <f>VLOOKUP(Table3[[#This Row],[Marker Name / Summenformel]],PhysChem_Table[],15,FALSE)</f>
        <v>#N/A</v>
      </c>
      <c r="AC91" s="38" t="e">
        <f>VLOOKUP(Table3[[#This Row],[Marker Name / Summenformel]],PhysChem_Table[],16,FALSE)</f>
        <v>#N/A</v>
      </c>
      <c r="AD91" s="38" t="e">
        <f>VLOOKUP(Table3[[#This Row],[Marker Name / Summenformel]],PhysChem_Table[],17,FALSE)</f>
        <v>#N/A</v>
      </c>
      <c r="AE91" s="38" t="e">
        <f>VLOOKUP(Table3[[#This Row],[Marker Name / Summenformel]],PhysChem_Table[],18,FALSE)</f>
        <v>#N/A</v>
      </c>
      <c r="AF91" s="38" t="e">
        <f>VLOOKUP(Table3[[#This Row],[Marker Name / Summenformel]],PhysChem_Table[],19,FALSE)</f>
        <v>#N/A</v>
      </c>
      <c r="AG91" s="38" t="e">
        <f>VLOOKUP(Table3[[#This Row],[Marker Name / Summenformel]],PhysChem_Table[],20,FALSE)</f>
        <v>#N/A</v>
      </c>
      <c r="AH91" s="38" t="e">
        <f>VLOOKUP(Table3[[#This Row],[Marker Name / Summenformel]],PhysChem_Table[],21,FALSE)</f>
        <v>#N/A</v>
      </c>
      <c r="AI91" s="38" t="e">
        <f>VLOOKUP(Table3[[#This Row],[Marker Name / Summenformel]],PhysChem_Table[],22,FALSE)</f>
        <v>#N/A</v>
      </c>
      <c r="AJ91" s="38" t="e">
        <f>VLOOKUP(Table3[[#This Row],[Marker Name / Summenformel]],PhysChem_Table[],23,FALSE)</f>
        <v>#N/A</v>
      </c>
      <c r="AK91" s="38" t="e">
        <f>VLOOKUP(Table3[[#This Row],[Marker Name / Summenformel]],PhysChem_Table[],24,FALSE)</f>
        <v>#N/A</v>
      </c>
      <c r="AL91" s="38" t="e">
        <f>VLOOKUP(Table3[[#This Row],[Marker Name / Summenformel]],PhysChem_Table[],25,FALSE)</f>
        <v>#N/A</v>
      </c>
      <c r="AM91" s="38" t="e">
        <f>VLOOKUP(Table3[[#This Row],[Marker Name / Summenformel]],PhysChem_Table[],26,FALSE)</f>
        <v>#N/A</v>
      </c>
      <c r="AN91" s="38" t="e">
        <f>VLOOKUP(Table3[[#This Row],[Marker Name / Summenformel]],PhysChem_Table[],27,FALSE)</f>
        <v>#N/A</v>
      </c>
      <c r="AO91" s="38" t="e">
        <f>VLOOKUP(Table3[[#This Row],[Marker Name / Summenformel]],PhysChem_Table[],28,FALSE)</f>
        <v>#N/A</v>
      </c>
      <c r="AP91" s="38" t="e">
        <f>VLOOKUP(Table3[[#This Row],[Marker Name / Summenformel]],PhysChem_Table[],29,FALSE)</f>
        <v>#N/A</v>
      </c>
      <c r="AQ91" s="38" t="e">
        <f>VLOOKUP(Table3[[#This Row],[Marker Name / Summenformel]],PhysChem_Table[],30,FALSE)</f>
        <v>#N/A</v>
      </c>
      <c r="AR91" s="38" t="e">
        <f>VLOOKUP(Table3[[#This Row],[Marker Name / Summenformel]],PhysChem_Table[],31,FALSE)</f>
        <v>#N/A</v>
      </c>
      <c r="AS91" s="38" t="e">
        <f>VLOOKUP(Table3[[#This Row],[Marker Name / Summenformel]],PhysChem_Table[],32,FALSE)</f>
        <v>#N/A</v>
      </c>
      <c r="AT91" s="38" t="e">
        <f>VLOOKUP(Table3[[#This Row],[Marker Name / Summenformel]],PhysChem_Table[],33,FALSE)</f>
        <v>#N/A</v>
      </c>
      <c r="AU91" s="38" t="e">
        <f>VLOOKUP(Table3[[#This Row],[Marker Name / Summenformel]],PhysChem_Table[],34,FALSE)</f>
        <v>#N/A</v>
      </c>
      <c r="AV91" s="10" t="e">
        <f>VLOOKUP(Table3[[#This Row],[Marker Name / Summenformel]],PhysChem_Table[],35,FALSE)</f>
        <v>#N/A</v>
      </c>
    </row>
    <row r="92" spans="1:48" x14ac:dyDescent="0.3">
      <c r="A92" s="10"/>
      <c r="B92" s="38" t="e">
        <f>VLOOKUP(Table3[[#This Row],[Marker Name / Summenformel]],BaseInfos_Table[],2,FALSE)</f>
        <v>#N/A</v>
      </c>
      <c r="C92" s="38" t="e">
        <f>VLOOKUP(Table3[[#This Row],[Marker Name / Summenformel]],BaseInfos_Table[],3,FALSE)</f>
        <v>#N/A</v>
      </c>
      <c r="D92" s="38" t="e">
        <f>VLOOKUP(Table3[[#This Row],[Marker Name / Summenformel]],BaseInfos_Table[],4,FALSE)</f>
        <v>#N/A</v>
      </c>
      <c r="E92" s="38" t="e">
        <f>VLOOKUP(Table3[[#This Row],[Marker Name / Summenformel]],BaseInfos_Table[],5,FALSE)</f>
        <v>#N/A</v>
      </c>
      <c r="F92" s="38" t="e">
        <f>VLOOKUP(Table3[[#This Row],[Marker Name / Summenformel]],BaseInfos_Table[],6,FALSE)</f>
        <v>#N/A</v>
      </c>
      <c r="G92" s="38" t="e">
        <f>VLOOKUP(Table3[[#This Row],[Marker Name / Summenformel]],BaseInfos_Table[],7,FALSE)</f>
        <v>#N/A</v>
      </c>
      <c r="H92" s="38" t="e">
        <f>VLOOKUP(Table3[[#This Row],[Marker Name / Summenformel]],BaseInfos_Table[],8,FALSE)</f>
        <v>#N/A</v>
      </c>
      <c r="I92" s="38" t="e">
        <f>VLOOKUP(Table3[[#This Row],[Marker Name / Summenformel]],BaseInfos_Table[],9,FALSE)</f>
        <v>#N/A</v>
      </c>
      <c r="J92" s="38" t="e">
        <f>VLOOKUP(Table3[[#This Row],[Marker Name / Summenformel]],BaseInfos_Table[],10,FALSE)</f>
        <v>#N/A</v>
      </c>
      <c r="K92" s="38" t="e">
        <f>VLOOKUP(Table3[[#This Row],[Marker Name / Summenformel]],BaseInfos_Table[],11,FALSE)</f>
        <v>#N/A</v>
      </c>
      <c r="L92" s="10" t="e">
        <f>VLOOKUP(Table3[[#This Row],[Marker Name / Summenformel]],GHS_Table[#All],3,FALSE)</f>
        <v>#N/A</v>
      </c>
      <c r="M92" s="10" t="e">
        <f>VLOOKUP(Table3[[#This Row],[Marker Name / Summenformel]],GHS_Table[#All],4,FALSE)</f>
        <v>#N/A</v>
      </c>
      <c r="N92" s="10" t="e">
        <f>VLOOKUP(Table3[[#This Row],[Marker Name / Summenformel]],GHS_Table[#All],5,FALSE)</f>
        <v>#N/A</v>
      </c>
      <c r="O92" s="10" t="e">
        <f>VLOOKUP(Table3[[#This Row],[Marker Name / Summenformel]],GHS_Table[#All],6,FALSE)</f>
        <v>#N/A</v>
      </c>
      <c r="P92" s="38" t="e">
        <f>VLOOKUP(Table3[[#This Row],[Marker Name / Summenformel]],PhysChem_Table[],3,FALSE)</f>
        <v>#N/A</v>
      </c>
      <c r="Q92" s="38" t="e">
        <f>VLOOKUP(Table3[[#This Row],[Marker Name / Summenformel]],PhysChem_Table[],4,FALSE)</f>
        <v>#N/A</v>
      </c>
      <c r="R92" s="38" t="e">
        <f>VLOOKUP(Table3[[#This Row],[Marker Name / Summenformel]],PhysChem_Table[],5,FALSE)</f>
        <v>#N/A</v>
      </c>
      <c r="S92" s="38" t="e">
        <f>VLOOKUP(Table3[[#This Row],[Marker Name / Summenformel]],PhysChem_Table[],6,FALSE)</f>
        <v>#N/A</v>
      </c>
      <c r="T92" s="38" t="e">
        <f>VLOOKUP(Table3[[#This Row],[Marker Name / Summenformel]],PhysChem_Table[],7,FALSE)</f>
        <v>#N/A</v>
      </c>
      <c r="U92" s="38" t="e">
        <f>VLOOKUP(Table3[[#This Row],[Marker Name / Summenformel]],PhysChem_Table[],8,FALSE)</f>
        <v>#N/A</v>
      </c>
      <c r="V92" s="38" t="e">
        <f>VLOOKUP(Table3[[#This Row],[Marker Name / Summenformel]],PhysChem_Table[],9,FALSE)</f>
        <v>#N/A</v>
      </c>
      <c r="W92" s="38" t="e">
        <f>VLOOKUP(Table3[[#This Row],[Marker Name / Summenformel]],PhysChem_Table[],10,FALSE)</f>
        <v>#N/A</v>
      </c>
      <c r="X92" s="38" t="e">
        <f>VLOOKUP(Table3[[#This Row],[Marker Name / Summenformel]],PhysChem_Table[],11,FALSE)</f>
        <v>#N/A</v>
      </c>
      <c r="Y92" s="38" t="e">
        <f>VLOOKUP(Table3[[#This Row],[Marker Name / Summenformel]],PhysChem_Table[],12,FALSE)</f>
        <v>#N/A</v>
      </c>
      <c r="Z92" s="38" t="e">
        <f>VLOOKUP(Table3[[#This Row],[Marker Name / Summenformel]],PhysChem_Table[],13,FALSE)</f>
        <v>#N/A</v>
      </c>
      <c r="AA92" s="38" t="e">
        <f>VLOOKUP(Table3[[#This Row],[Marker Name / Summenformel]],PhysChem_Table[],14,FALSE)</f>
        <v>#N/A</v>
      </c>
      <c r="AB92" s="38" t="e">
        <f>VLOOKUP(Table3[[#This Row],[Marker Name / Summenformel]],PhysChem_Table[],15,FALSE)</f>
        <v>#N/A</v>
      </c>
      <c r="AC92" s="38" t="e">
        <f>VLOOKUP(Table3[[#This Row],[Marker Name / Summenformel]],PhysChem_Table[],16,FALSE)</f>
        <v>#N/A</v>
      </c>
      <c r="AD92" s="38" t="e">
        <f>VLOOKUP(Table3[[#This Row],[Marker Name / Summenformel]],PhysChem_Table[],17,FALSE)</f>
        <v>#N/A</v>
      </c>
      <c r="AE92" s="38" t="e">
        <f>VLOOKUP(Table3[[#This Row],[Marker Name / Summenformel]],PhysChem_Table[],18,FALSE)</f>
        <v>#N/A</v>
      </c>
      <c r="AF92" s="38" t="e">
        <f>VLOOKUP(Table3[[#This Row],[Marker Name / Summenformel]],PhysChem_Table[],19,FALSE)</f>
        <v>#N/A</v>
      </c>
      <c r="AG92" s="38" t="e">
        <f>VLOOKUP(Table3[[#This Row],[Marker Name / Summenformel]],PhysChem_Table[],20,FALSE)</f>
        <v>#N/A</v>
      </c>
      <c r="AH92" s="38" t="e">
        <f>VLOOKUP(Table3[[#This Row],[Marker Name / Summenformel]],PhysChem_Table[],21,FALSE)</f>
        <v>#N/A</v>
      </c>
      <c r="AI92" s="38" t="e">
        <f>VLOOKUP(Table3[[#This Row],[Marker Name / Summenformel]],PhysChem_Table[],22,FALSE)</f>
        <v>#N/A</v>
      </c>
      <c r="AJ92" s="38" t="e">
        <f>VLOOKUP(Table3[[#This Row],[Marker Name / Summenformel]],PhysChem_Table[],23,FALSE)</f>
        <v>#N/A</v>
      </c>
      <c r="AK92" s="38" t="e">
        <f>VLOOKUP(Table3[[#This Row],[Marker Name / Summenformel]],PhysChem_Table[],24,FALSE)</f>
        <v>#N/A</v>
      </c>
      <c r="AL92" s="38" t="e">
        <f>VLOOKUP(Table3[[#This Row],[Marker Name / Summenformel]],PhysChem_Table[],25,FALSE)</f>
        <v>#N/A</v>
      </c>
      <c r="AM92" s="38" t="e">
        <f>VLOOKUP(Table3[[#This Row],[Marker Name / Summenformel]],PhysChem_Table[],26,FALSE)</f>
        <v>#N/A</v>
      </c>
      <c r="AN92" s="38" t="e">
        <f>VLOOKUP(Table3[[#This Row],[Marker Name / Summenformel]],PhysChem_Table[],27,FALSE)</f>
        <v>#N/A</v>
      </c>
      <c r="AO92" s="38" t="e">
        <f>VLOOKUP(Table3[[#This Row],[Marker Name / Summenformel]],PhysChem_Table[],28,FALSE)</f>
        <v>#N/A</v>
      </c>
      <c r="AP92" s="38" t="e">
        <f>VLOOKUP(Table3[[#This Row],[Marker Name / Summenformel]],PhysChem_Table[],29,FALSE)</f>
        <v>#N/A</v>
      </c>
      <c r="AQ92" s="38" t="e">
        <f>VLOOKUP(Table3[[#This Row],[Marker Name / Summenformel]],PhysChem_Table[],30,FALSE)</f>
        <v>#N/A</v>
      </c>
      <c r="AR92" s="38" t="e">
        <f>VLOOKUP(Table3[[#This Row],[Marker Name / Summenformel]],PhysChem_Table[],31,FALSE)</f>
        <v>#N/A</v>
      </c>
      <c r="AS92" s="38" t="e">
        <f>VLOOKUP(Table3[[#This Row],[Marker Name / Summenformel]],PhysChem_Table[],32,FALSE)</f>
        <v>#N/A</v>
      </c>
      <c r="AT92" s="38" t="e">
        <f>VLOOKUP(Table3[[#This Row],[Marker Name / Summenformel]],PhysChem_Table[],33,FALSE)</f>
        <v>#N/A</v>
      </c>
      <c r="AU92" s="38" t="e">
        <f>VLOOKUP(Table3[[#This Row],[Marker Name / Summenformel]],PhysChem_Table[],34,FALSE)</f>
        <v>#N/A</v>
      </c>
      <c r="AV92" s="10" t="e">
        <f>VLOOKUP(Table3[[#This Row],[Marker Name / Summenformel]],PhysChem_Table[],35,FALSE)</f>
        <v>#N/A</v>
      </c>
    </row>
  </sheetData>
  <dataConsolidate/>
  <mergeCells count="16">
    <mergeCell ref="B1:K1"/>
    <mergeCell ref="P2:Q2"/>
    <mergeCell ref="R2:S2"/>
    <mergeCell ref="T2:U2"/>
    <mergeCell ref="L1:O1"/>
    <mergeCell ref="M2:O2"/>
    <mergeCell ref="P1:AV1"/>
    <mergeCell ref="AA2:AB2"/>
    <mergeCell ref="B2:F2"/>
    <mergeCell ref="G2:K2"/>
    <mergeCell ref="V2:W2"/>
    <mergeCell ref="Y2:Z2"/>
    <mergeCell ref="AC2:AD2"/>
    <mergeCell ref="AI2:AJ2"/>
    <mergeCell ref="AE2:AG2"/>
    <mergeCell ref="AU2:AV2"/>
  </mergeCells>
  <phoneticPr fontId="1" type="noConversion"/>
  <pageMargins left="0.7" right="0.7" top="0.75" bottom="0.75" header="0.3" footer="0.3"/>
  <pageSetup paperSize="9"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81"/>
  <sheetViews>
    <sheetView zoomScaleNormal="100" workbookViewId="0">
      <pane xSplit="1" topLeftCell="B1" activePane="topRight" state="frozen"/>
      <selection pane="topRight" activeCell="A2" sqref="A2"/>
    </sheetView>
  </sheetViews>
  <sheetFormatPr baseColWidth="10" defaultColWidth="9.28515625" defaultRowHeight="15" x14ac:dyDescent="0.3"/>
  <cols>
    <col min="1" max="1" width="36.7109375" style="10" customWidth="1"/>
    <col min="2" max="2" width="21" style="10" customWidth="1"/>
    <col min="3" max="4" width="17.85546875" style="10" customWidth="1"/>
    <col min="5" max="5" width="53.85546875" style="10" customWidth="1"/>
    <col min="6" max="6" width="23.28515625" style="10" bestFit="1" customWidth="1"/>
    <col min="7" max="7" width="39.140625" style="10" bestFit="1" customWidth="1"/>
    <col min="8" max="8" width="17.7109375" style="10" customWidth="1"/>
    <col min="9" max="9" width="80.140625" style="10" customWidth="1"/>
    <col min="10" max="10" width="142.85546875" style="10" bestFit="1" customWidth="1"/>
    <col min="11" max="11" width="18.85546875" style="10" bestFit="1" customWidth="1"/>
    <col min="12" max="12" width="24.140625" style="10" customWidth="1"/>
    <col min="13" max="16" width="17.85546875" style="10" customWidth="1"/>
    <col min="17" max="17" width="28.140625" style="10" customWidth="1"/>
    <col min="18" max="19" width="18.28515625" style="10" customWidth="1"/>
    <col min="20" max="22" width="24.140625" style="10" customWidth="1"/>
    <col min="23" max="23" width="19" style="10" customWidth="1"/>
    <col min="24" max="25" width="23.28515625" style="10" customWidth="1"/>
    <col min="26" max="26" width="19.28515625" style="10" customWidth="1"/>
    <col min="27" max="28" width="16.140625" style="10" customWidth="1"/>
    <col min="29" max="29" width="28.85546875" style="10" customWidth="1"/>
    <col min="30" max="30" width="17.42578125" style="10" customWidth="1"/>
    <col min="31" max="31" width="16" style="10" customWidth="1"/>
    <col min="32" max="32" width="23" style="10" customWidth="1"/>
    <col min="33" max="33" width="25.85546875" style="10" customWidth="1"/>
    <col min="34" max="34" width="19.28515625" style="10" customWidth="1"/>
    <col min="35" max="35" width="15.7109375" style="10" customWidth="1"/>
    <col min="36" max="36" width="9.28515625" style="10"/>
    <col min="37" max="37" width="18.140625" style="10" customWidth="1"/>
    <col min="38" max="38" width="10.85546875" style="10" customWidth="1"/>
    <col min="39" max="39" width="27" style="10" customWidth="1"/>
    <col min="40" max="40" width="23.140625" style="10" customWidth="1"/>
    <col min="41" max="41" width="18.85546875" style="10" customWidth="1"/>
    <col min="42" max="42" width="37.28515625" style="10" customWidth="1"/>
    <col min="43" max="43" width="34.42578125" style="10" customWidth="1"/>
    <col min="44" max="44" width="12.85546875" style="10" customWidth="1"/>
    <col min="45" max="46" width="20.7109375" style="10" customWidth="1"/>
    <col min="47" max="47" width="9.28515625" style="10"/>
    <col min="48" max="48" width="18.28515625" style="10" customWidth="1"/>
    <col min="49" max="16384" width="9.28515625" style="10"/>
  </cols>
  <sheetData>
    <row r="1" spans="1:55" x14ac:dyDescent="0.3">
      <c r="A1" s="55" t="s">
        <v>733</v>
      </c>
      <c r="B1" s="55"/>
      <c r="C1" s="55"/>
      <c r="D1" s="55"/>
      <c r="E1" s="55"/>
      <c r="F1" s="55"/>
      <c r="G1" s="55"/>
      <c r="H1" s="55"/>
      <c r="I1" s="55"/>
      <c r="J1" s="55"/>
      <c r="K1" s="55"/>
    </row>
    <row r="2" spans="1:55" x14ac:dyDescent="0.3">
      <c r="A2" s="17" t="s">
        <v>719</v>
      </c>
      <c r="B2" s="10" t="s">
        <v>734</v>
      </c>
      <c r="C2" s="10" t="s">
        <v>717</v>
      </c>
      <c r="D2" s="10" t="s">
        <v>768</v>
      </c>
      <c r="E2" s="10" t="s">
        <v>769</v>
      </c>
      <c r="F2" s="10" t="s">
        <v>735</v>
      </c>
      <c r="G2" s="10" t="s">
        <v>736</v>
      </c>
      <c r="H2" s="10" t="s">
        <v>737</v>
      </c>
      <c r="I2" s="10" t="s">
        <v>4</v>
      </c>
      <c r="J2" s="10" t="s">
        <v>24</v>
      </c>
      <c r="K2" s="10" t="s">
        <v>288</v>
      </c>
      <c r="L2" s="56"/>
      <c r="M2" s="56"/>
      <c r="N2" s="56"/>
      <c r="O2" s="56"/>
      <c r="P2" s="56"/>
      <c r="Q2" s="56"/>
      <c r="S2" s="56"/>
      <c r="T2" s="56"/>
      <c r="U2" s="56"/>
      <c r="V2" s="56"/>
      <c r="W2" s="56"/>
      <c r="X2" s="56"/>
      <c r="Y2" s="56"/>
      <c r="Z2" s="56"/>
      <c r="AB2" s="56"/>
      <c r="AC2" s="56"/>
      <c r="AN2" s="19"/>
      <c r="AO2" s="19"/>
      <c r="AP2" s="19"/>
      <c r="AQ2" s="19"/>
      <c r="AR2" s="19"/>
      <c r="AS2" s="19"/>
      <c r="AT2" s="19"/>
      <c r="AU2" s="19"/>
      <c r="AV2" s="19"/>
      <c r="AX2" s="19"/>
      <c r="AY2" s="19"/>
      <c r="AZ2" s="19"/>
      <c r="BA2" s="19"/>
      <c r="BB2" s="19"/>
      <c r="BC2" s="19"/>
    </row>
    <row r="3" spans="1:55" x14ac:dyDescent="0.3">
      <c r="A3" s="10" t="s">
        <v>0</v>
      </c>
      <c r="B3" s="10" t="s">
        <v>676</v>
      </c>
      <c r="C3" s="11" t="s">
        <v>3</v>
      </c>
      <c r="D3" s="10" t="s">
        <v>531</v>
      </c>
      <c r="E3" s="10" t="s">
        <v>28</v>
      </c>
      <c r="F3" s="10" t="s">
        <v>403</v>
      </c>
      <c r="G3" s="10" t="s">
        <v>25</v>
      </c>
      <c r="H3" s="10">
        <v>100</v>
      </c>
      <c r="I3" s="12" t="s">
        <v>30</v>
      </c>
      <c r="J3" s="12" t="s">
        <v>26</v>
      </c>
      <c r="K3" s="12"/>
    </row>
    <row r="4" spans="1:55" x14ac:dyDescent="0.3">
      <c r="A4" s="10" t="s">
        <v>1</v>
      </c>
      <c r="C4" s="10" t="s">
        <v>2</v>
      </c>
      <c r="D4" s="10" t="s">
        <v>532</v>
      </c>
      <c r="E4" s="10" t="s">
        <v>29</v>
      </c>
      <c r="F4" s="10" t="s">
        <v>403</v>
      </c>
      <c r="G4" s="10" t="s">
        <v>25</v>
      </c>
      <c r="H4" s="10">
        <v>100</v>
      </c>
      <c r="I4" s="12" t="s">
        <v>31</v>
      </c>
      <c r="J4" s="12" t="s">
        <v>27</v>
      </c>
      <c r="K4" s="12"/>
    </row>
    <row r="5" spans="1:55" x14ac:dyDescent="0.3">
      <c r="A5" s="10" t="s">
        <v>686</v>
      </c>
      <c r="B5" s="10" t="s">
        <v>5</v>
      </c>
      <c r="C5" s="10" t="s">
        <v>6</v>
      </c>
      <c r="D5" s="10" t="s">
        <v>533</v>
      </c>
      <c r="E5" s="10" t="s">
        <v>39</v>
      </c>
      <c r="F5" s="10" t="s">
        <v>639</v>
      </c>
      <c r="G5" s="10" t="s">
        <v>25</v>
      </c>
      <c r="H5" s="10">
        <v>1000</v>
      </c>
      <c r="I5" s="12" t="s">
        <v>32</v>
      </c>
      <c r="J5" s="12" t="s">
        <v>41</v>
      </c>
      <c r="K5" s="12"/>
    </row>
    <row r="6" spans="1:55" x14ac:dyDescent="0.3">
      <c r="A6" s="10" t="s">
        <v>687</v>
      </c>
      <c r="B6" s="10" t="s">
        <v>5</v>
      </c>
      <c r="C6" s="10" t="s">
        <v>7</v>
      </c>
      <c r="D6" s="10" t="s">
        <v>534</v>
      </c>
      <c r="E6" s="10" t="s">
        <v>39</v>
      </c>
      <c r="F6" s="10" t="s">
        <v>639</v>
      </c>
      <c r="G6" s="10" t="s">
        <v>25</v>
      </c>
      <c r="H6" s="10">
        <v>100</v>
      </c>
      <c r="I6" s="12" t="s">
        <v>33</v>
      </c>
      <c r="J6" s="12" t="s">
        <v>42</v>
      </c>
      <c r="K6" s="12"/>
    </row>
    <row r="7" spans="1:55" x14ac:dyDescent="0.3">
      <c r="A7" s="10" t="s">
        <v>688</v>
      </c>
      <c r="B7" s="10" t="s">
        <v>5</v>
      </c>
      <c r="C7" s="10" t="s">
        <v>8</v>
      </c>
      <c r="D7" s="10" t="s">
        <v>535</v>
      </c>
      <c r="E7" s="10" t="s">
        <v>39</v>
      </c>
      <c r="F7" s="10" t="s">
        <v>569</v>
      </c>
      <c r="G7" s="10" t="s">
        <v>25</v>
      </c>
      <c r="H7" s="10">
        <v>100</v>
      </c>
      <c r="I7" s="12" t="s">
        <v>34</v>
      </c>
      <c r="J7" s="12" t="s">
        <v>43</v>
      </c>
      <c r="K7" s="12"/>
    </row>
    <row r="8" spans="1:55" x14ac:dyDescent="0.3">
      <c r="A8" s="10" t="s">
        <v>689</v>
      </c>
      <c r="B8" s="10" t="s">
        <v>5</v>
      </c>
      <c r="C8" s="10" t="s">
        <v>9</v>
      </c>
      <c r="D8" s="10" t="s">
        <v>536</v>
      </c>
      <c r="E8" s="10" t="s">
        <v>39</v>
      </c>
      <c r="F8" s="10" t="s">
        <v>569</v>
      </c>
      <c r="G8" s="10" t="s">
        <v>25</v>
      </c>
      <c r="H8" s="10">
        <v>10</v>
      </c>
      <c r="I8" s="12" t="s">
        <v>35</v>
      </c>
      <c r="J8" s="12" t="s">
        <v>44</v>
      </c>
      <c r="K8" s="12"/>
    </row>
    <row r="9" spans="1:55" x14ac:dyDescent="0.3">
      <c r="A9" s="10" t="s">
        <v>690</v>
      </c>
      <c r="B9" s="10" t="s">
        <v>5</v>
      </c>
      <c r="C9" s="10" t="s">
        <v>10</v>
      </c>
      <c r="D9" s="10" t="s">
        <v>537</v>
      </c>
      <c r="E9" s="10" t="s">
        <v>39</v>
      </c>
      <c r="F9" s="10" t="s">
        <v>569</v>
      </c>
      <c r="G9" s="10" t="s">
        <v>25</v>
      </c>
      <c r="H9" s="10">
        <v>1</v>
      </c>
      <c r="I9" s="12" t="s">
        <v>36</v>
      </c>
      <c r="J9" s="12" t="s">
        <v>46</v>
      </c>
      <c r="K9" s="12"/>
    </row>
    <row r="10" spans="1:55" x14ac:dyDescent="0.3">
      <c r="A10" s="10" t="s">
        <v>11</v>
      </c>
      <c r="B10" s="10" t="s">
        <v>17</v>
      </c>
      <c r="C10" s="10" t="s">
        <v>13</v>
      </c>
      <c r="D10" s="10" t="s">
        <v>538</v>
      </c>
      <c r="E10" s="10" t="s">
        <v>23</v>
      </c>
      <c r="F10" s="10" t="s">
        <v>403</v>
      </c>
      <c r="G10" s="10" t="s">
        <v>25</v>
      </c>
      <c r="H10" s="10">
        <v>1</v>
      </c>
      <c r="I10" s="12" t="s">
        <v>37</v>
      </c>
      <c r="J10" s="12" t="s">
        <v>47</v>
      </c>
      <c r="K10" s="12"/>
    </row>
    <row r="11" spans="1:55" x14ac:dyDescent="0.3">
      <c r="A11" s="10" t="s">
        <v>12</v>
      </c>
      <c r="B11" s="10" t="s">
        <v>14</v>
      </c>
      <c r="C11" s="10" t="s">
        <v>55</v>
      </c>
      <c r="D11" s="10" t="s">
        <v>55</v>
      </c>
      <c r="E11" s="10" t="s">
        <v>23</v>
      </c>
      <c r="F11" s="10" t="s">
        <v>403</v>
      </c>
      <c r="G11" s="10" t="s">
        <v>630</v>
      </c>
      <c r="H11" s="10" t="s">
        <v>55</v>
      </c>
      <c r="I11" s="10" t="s">
        <v>55</v>
      </c>
      <c r="J11" s="10" t="s">
        <v>55</v>
      </c>
    </row>
    <row r="12" spans="1:55" x14ac:dyDescent="0.3">
      <c r="A12" s="10" t="s">
        <v>19</v>
      </c>
      <c r="B12" s="10" t="s">
        <v>53</v>
      </c>
      <c r="C12" s="10" t="s">
        <v>55</v>
      </c>
      <c r="D12" s="10" t="s">
        <v>55</v>
      </c>
      <c r="E12" s="10" t="s">
        <v>22</v>
      </c>
      <c r="F12" s="10" t="s">
        <v>605</v>
      </c>
      <c r="G12" s="10" t="s">
        <v>630</v>
      </c>
      <c r="H12" s="10" t="s">
        <v>55</v>
      </c>
      <c r="I12" s="10" t="s">
        <v>55</v>
      </c>
      <c r="J12" s="10" t="s">
        <v>55</v>
      </c>
    </row>
    <row r="13" spans="1:55" x14ac:dyDescent="0.3">
      <c r="A13" s="10" t="s">
        <v>21</v>
      </c>
      <c r="B13" s="10" t="s">
        <v>45</v>
      </c>
      <c r="C13" s="10" t="s">
        <v>55</v>
      </c>
      <c r="D13" s="10" t="s">
        <v>55</v>
      </c>
      <c r="E13" s="10" t="s">
        <v>22</v>
      </c>
      <c r="F13" s="10" t="s">
        <v>605</v>
      </c>
      <c r="G13" s="10" t="s">
        <v>630</v>
      </c>
      <c r="H13" s="10" t="s">
        <v>55</v>
      </c>
      <c r="I13" s="10" t="s">
        <v>55</v>
      </c>
      <c r="J13" s="10" t="s">
        <v>55</v>
      </c>
    </row>
    <row r="14" spans="1:55" x14ac:dyDescent="0.3">
      <c r="A14" s="10" t="s">
        <v>20</v>
      </c>
      <c r="B14" s="10" t="s">
        <v>45</v>
      </c>
      <c r="C14" s="10" t="s">
        <v>55</v>
      </c>
      <c r="D14" s="10" t="s">
        <v>55</v>
      </c>
      <c r="E14" s="10" t="s">
        <v>22</v>
      </c>
      <c r="F14" s="10" t="s">
        <v>605</v>
      </c>
      <c r="G14" s="10" t="s">
        <v>630</v>
      </c>
      <c r="H14" s="10" t="s">
        <v>55</v>
      </c>
      <c r="I14" s="10" t="s">
        <v>55</v>
      </c>
      <c r="J14" s="10" t="s">
        <v>55</v>
      </c>
    </row>
    <row r="15" spans="1:55" x14ac:dyDescent="0.3">
      <c r="A15" s="10" t="s">
        <v>49</v>
      </c>
      <c r="B15" s="10" t="s">
        <v>45</v>
      </c>
      <c r="C15" s="10" t="s">
        <v>55</v>
      </c>
      <c r="D15" s="10" t="s">
        <v>55</v>
      </c>
      <c r="E15" s="10" t="s">
        <v>738</v>
      </c>
      <c r="F15" s="10" t="s">
        <v>605</v>
      </c>
      <c r="G15" s="10" t="s">
        <v>72</v>
      </c>
      <c r="H15" s="10" t="s">
        <v>55</v>
      </c>
      <c r="I15" s="10" t="s">
        <v>55</v>
      </c>
      <c r="J15" s="10" t="s">
        <v>55</v>
      </c>
    </row>
    <row r="16" spans="1:55" x14ac:dyDescent="0.3">
      <c r="A16" s="10" t="s">
        <v>56</v>
      </c>
      <c r="B16" s="10" t="s">
        <v>672</v>
      </c>
      <c r="C16" s="11" t="s">
        <v>38</v>
      </c>
      <c r="D16" s="10" t="s">
        <v>539</v>
      </c>
      <c r="E16" s="10" t="s">
        <v>739</v>
      </c>
      <c r="F16" s="10" t="s">
        <v>403</v>
      </c>
      <c r="G16" s="10" t="s">
        <v>25</v>
      </c>
      <c r="H16" s="10">
        <v>100</v>
      </c>
      <c r="I16" s="12" t="s">
        <v>223</v>
      </c>
      <c r="J16" s="12" t="s">
        <v>57</v>
      </c>
      <c r="K16" s="12"/>
    </row>
    <row r="17" spans="1:11" x14ac:dyDescent="0.3">
      <c r="A17" s="10" t="s">
        <v>54</v>
      </c>
      <c r="B17" s="10" t="s">
        <v>298</v>
      </c>
      <c r="C17" s="11" t="s">
        <v>48</v>
      </c>
      <c r="D17" s="10" t="s">
        <v>540</v>
      </c>
      <c r="E17" s="10" t="s">
        <v>740</v>
      </c>
      <c r="F17" s="10" t="s">
        <v>605</v>
      </c>
      <c r="G17" s="10" t="s">
        <v>25</v>
      </c>
      <c r="H17" s="10">
        <v>1</v>
      </c>
      <c r="I17" s="12" t="s">
        <v>50</v>
      </c>
      <c r="J17" s="12" t="s">
        <v>51</v>
      </c>
      <c r="K17" s="12"/>
    </row>
    <row r="18" spans="1:11" x14ac:dyDescent="0.3">
      <c r="A18" s="10" t="s">
        <v>373</v>
      </c>
      <c r="B18" s="10" t="s">
        <v>17</v>
      </c>
      <c r="C18" s="10" t="s">
        <v>230</v>
      </c>
      <c r="D18" s="10" t="s">
        <v>541</v>
      </c>
      <c r="E18" s="10" t="s">
        <v>237</v>
      </c>
      <c r="F18" s="10" t="s">
        <v>605</v>
      </c>
      <c r="G18" s="10" t="s">
        <v>25</v>
      </c>
      <c r="H18" s="10">
        <v>1</v>
      </c>
      <c r="I18" s="12" t="s">
        <v>232</v>
      </c>
      <c r="J18" s="12" t="s">
        <v>231</v>
      </c>
      <c r="K18" s="12"/>
    </row>
    <row r="19" spans="1:11" x14ac:dyDescent="0.3">
      <c r="A19" s="10" t="s">
        <v>234</v>
      </c>
      <c r="B19" s="10" t="s">
        <v>673</v>
      </c>
      <c r="C19" s="10" t="s">
        <v>236</v>
      </c>
      <c r="D19" s="10" t="s">
        <v>542</v>
      </c>
      <c r="E19" s="10" t="s">
        <v>237</v>
      </c>
      <c r="F19" s="10" t="s">
        <v>605</v>
      </c>
      <c r="G19" s="10" t="s">
        <v>25</v>
      </c>
      <c r="H19" s="10" t="s">
        <v>55</v>
      </c>
      <c r="I19" s="12" t="s">
        <v>239</v>
      </c>
      <c r="J19" s="12" t="s">
        <v>238</v>
      </c>
      <c r="K19" s="12"/>
    </row>
    <row r="20" spans="1:11" x14ac:dyDescent="0.3">
      <c r="A20" s="10" t="s">
        <v>235</v>
      </c>
      <c r="B20" s="10" t="s">
        <v>674</v>
      </c>
      <c r="C20" s="10" t="s">
        <v>241</v>
      </c>
      <c r="D20" s="10" t="s">
        <v>543</v>
      </c>
      <c r="E20" s="10" t="s">
        <v>237</v>
      </c>
      <c r="F20" s="10" t="s">
        <v>605</v>
      </c>
      <c r="G20" s="10" t="s">
        <v>25</v>
      </c>
      <c r="H20" s="10">
        <v>1</v>
      </c>
      <c r="I20" s="12" t="s">
        <v>240</v>
      </c>
      <c r="J20" s="12" t="s">
        <v>242</v>
      </c>
      <c r="K20" s="12"/>
    </row>
    <row r="21" spans="1:11" x14ac:dyDescent="0.3">
      <c r="A21" s="10" t="s">
        <v>250</v>
      </c>
      <c r="B21" s="10" t="s">
        <v>277</v>
      </c>
      <c r="C21" s="10" t="s">
        <v>249</v>
      </c>
      <c r="D21" s="10" t="s">
        <v>544</v>
      </c>
      <c r="E21" s="10" t="s">
        <v>237</v>
      </c>
      <c r="F21" s="10" t="s">
        <v>605</v>
      </c>
      <c r="G21" s="10" t="s">
        <v>25</v>
      </c>
      <c r="H21" s="10">
        <v>1</v>
      </c>
      <c r="I21" s="12" t="s">
        <v>251</v>
      </c>
      <c r="J21" s="12" t="s">
        <v>252</v>
      </c>
      <c r="K21" s="12"/>
    </row>
    <row r="22" spans="1:11" x14ac:dyDescent="0.3">
      <c r="A22" s="10" t="s">
        <v>260</v>
      </c>
      <c r="B22" s="10" t="s">
        <v>276</v>
      </c>
      <c r="C22" s="10" t="s">
        <v>261</v>
      </c>
      <c r="D22" s="10" t="s">
        <v>545</v>
      </c>
      <c r="E22" s="10" t="s">
        <v>265</v>
      </c>
      <c r="F22" s="10" t="s">
        <v>605</v>
      </c>
      <c r="G22" s="10" t="s">
        <v>25</v>
      </c>
      <c r="H22" s="10" t="s">
        <v>55</v>
      </c>
      <c r="I22" s="12" t="s">
        <v>262</v>
      </c>
      <c r="J22" s="12" t="s">
        <v>263</v>
      </c>
      <c r="K22" s="12"/>
    </row>
    <row r="23" spans="1:11" x14ac:dyDescent="0.3">
      <c r="A23" s="10" t="s">
        <v>264</v>
      </c>
      <c r="B23" s="10" t="s">
        <v>276</v>
      </c>
      <c r="C23" s="10" t="s">
        <v>274</v>
      </c>
      <c r="D23" s="10" t="s">
        <v>546</v>
      </c>
      <c r="E23" s="10" t="s">
        <v>265</v>
      </c>
      <c r="F23" s="10" t="s">
        <v>605</v>
      </c>
      <c r="G23" s="10" t="s">
        <v>25</v>
      </c>
      <c r="H23" s="10" t="s">
        <v>55</v>
      </c>
      <c r="I23" s="12" t="s">
        <v>319</v>
      </c>
      <c r="J23" s="12" t="s">
        <v>266</v>
      </c>
      <c r="K23" s="12"/>
    </row>
    <row r="24" spans="1:11" x14ac:dyDescent="0.3">
      <c r="A24" s="10" t="s">
        <v>267</v>
      </c>
      <c r="B24" s="10" t="s">
        <v>276</v>
      </c>
      <c r="C24" s="10" t="s">
        <v>275</v>
      </c>
      <c r="D24" s="10" t="s">
        <v>547</v>
      </c>
      <c r="E24" s="10" t="s">
        <v>265</v>
      </c>
      <c r="F24" s="10" t="s">
        <v>605</v>
      </c>
      <c r="G24" s="10" t="s">
        <v>25</v>
      </c>
      <c r="H24" s="10" t="s">
        <v>55</v>
      </c>
      <c r="I24" s="12" t="s">
        <v>320</v>
      </c>
      <c r="J24" s="12" t="s">
        <v>268</v>
      </c>
      <c r="K24" s="12"/>
    </row>
    <row r="25" spans="1:11" x14ac:dyDescent="0.3">
      <c r="A25" s="10" t="s">
        <v>269</v>
      </c>
      <c r="B25" s="10" t="s">
        <v>276</v>
      </c>
      <c r="C25" s="10" t="s">
        <v>271</v>
      </c>
      <c r="D25" s="10" t="s">
        <v>548</v>
      </c>
      <c r="E25" s="10" t="s">
        <v>265</v>
      </c>
      <c r="F25" s="10" t="s">
        <v>605</v>
      </c>
      <c r="G25" s="10" t="s">
        <v>25</v>
      </c>
      <c r="H25" s="10" t="s">
        <v>55</v>
      </c>
      <c r="I25" s="12" t="s">
        <v>321</v>
      </c>
      <c r="J25" s="12" t="s">
        <v>270</v>
      </c>
      <c r="K25" s="12"/>
    </row>
    <row r="26" spans="1:11" x14ac:dyDescent="0.3">
      <c r="A26" s="10" t="s">
        <v>272</v>
      </c>
      <c r="B26" s="10" t="s">
        <v>276</v>
      </c>
      <c r="C26" s="10" t="s">
        <v>667</v>
      </c>
      <c r="D26" s="10" t="s">
        <v>668</v>
      </c>
      <c r="E26" s="10" t="s">
        <v>265</v>
      </c>
      <c r="F26" s="10" t="s">
        <v>605</v>
      </c>
      <c r="G26" s="10" t="s">
        <v>25</v>
      </c>
      <c r="H26" s="10" t="s">
        <v>55</v>
      </c>
      <c r="I26" s="12" t="s">
        <v>669</v>
      </c>
      <c r="J26" s="12" t="s">
        <v>273</v>
      </c>
      <c r="K26" s="12"/>
    </row>
    <row r="27" spans="1:11" x14ac:dyDescent="0.3">
      <c r="A27" s="10" t="s">
        <v>280</v>
      </c>
      <c r="B27" s="10" t="s">
        <v>282</v>
      </c>
      <c r="C27" s="10" t="s">
        <v>284</v>
      </c>
      <c r="D27" s="10" t="s">
        <v>549</v>
      </c>
      <c r="E27" s="10" t="s">
        <v>741</v>
      </c>
      <c r="F27" s="10" t="s">
        <v>605</v>
      </c>
      <c r="G27" s="10" t="s">
        <v>25</v>
      </c>
      <c r="H27" s="10">
        <v>100</v>
      </c>
      <c r="I27" s="12" t="s">
        <v>279</v>
      </c>
      <c r="J27" s="12" t="s">
        <v>278</v>
      </c>
      <c r="K27" s="12"/>
    </row>
    <row r="28" spans="1:11" x14ac:dyDescent="0.3">
      <c r="A28" s="10" t="s">
        <v>281</v>
      </c>
      <c r="B28" s="10" t="s">
        <v>282</v>
      </c>
      <c r="C28" s="10" t="s">
        <v>285</v>
      </c>
      <c r="D28" s="10" t="s">
        <v>550</v>
      </c>
      <c r="E28" s="10" t="s">
        <v>741</v>
      </c>
      <c r="F28" s="10" t="s">
        <v>605</v>
      </c>
      <c r="G28" s="10" t="s">
        <v>25</v>
      </c>
      <c r="H28" s="10" t="s">
        <v>502</v>
      </c>
      <c r="I28" s="12" t="s">
        <v>283</v>
      </c>
      <c r="J28" s="12" t="s">
        <v>501</v>
      </c>
      <c r="K28" s="12"/>
    </row>
    <row r="29" spans="1:11" x14ac:dyDescent="0.3">
      <c r="A29" s="10" t="s">
        <v>691</v>
      </c>
      <c r="B29" s="10" t="s">
        <v>5</v>
      </c>
      <c r="C29" s="10" t="s">
        <v>299</v>
      </c>
      <c r="D29" s="10" t="s">
        <v>551</v>
      </c>
      <c r="E29" s="10" t="s">
        <v>39</v>
      </c>
      <c r="F29" s="10" t="s">
        <v>569</v>
      </c>
      <c r="G29" s="10" t="s">
        <v>25</v>
      </c>
      <c r="H29" s="10">
        <v>1000</v>
      </c>
      <c r="I29" s="12" t="s">
        <v>307</v>
      </c>
      <c r="J29" s="12" t="s">
        <v>303</v>
      </c>
    </row>
    <row r="30" spans="1:11" x14ac:dyDescent="0.3">
      <c r="A30" s="10" t="s">
        <v>692</v>
      </c>
      <c r="B30" s="10" t="s">
        <v>5</v>
      </c>
      <c r="C30" s="10" t="s">
        <v>300</v>
      </c>
      <c r="D30" s="10" t="s">
        <v>552</v>
      </c>
      <c r="E30" s="10" t="s">
        <v>39</v>
      </c>
      <c r="F30" s="10" t="s">
        <v>569</v>
      </c>
      <c r="G30" s="10" t="s">
        <v>25</v>
      </c>
      <c r="H30" s="10">
        <v>100</v>
      </c>
      <c r="I30" s="12" t="s">
        <v>308</v>
      </c>
      <c r="J30" s="12" t="s">
        <v>304</v>
      </c>
    </row>
    <row r="31" spans="1:11" x14ac:dyDescent="0.3">
      <c r="A31" s="10" t="s">
        <v>693</v>
      </c>
      <c r="B31" s="10" t="s">
        <v>5</v>
      </c>
      <c r="C31" s="10" t="s">
        <v>301</v>
      </c>
      <c r="D31" s="10" t="s">
        <v>553</v>
      </c>
      <c r="E31" s="10" t="s">
        <v>39</v>
      </c>
      <c r="F31" s="10" t="s">
        <v>569</v>
      </c>
      <c r="G31" s="10" t="s">
        <v>25</v>
      </c>
      <c r="H31" s="10">
        <v>100</v>
      </c>
      <c r="I31" s="12" t="s">
        <v>309</v>
      </c>
      <c r="J31" s="12" t="s">
        <v>305</v>
      </c>
    </row>
    <row r="32" spans="1:11" x14ac:dyDescent="0.3">
      <c r="A32" s="10" t="s">
        <v>694</v>
      </c>
      <c r="B32" s="10" t="s">
        <v>5</v>
      </c>
      <c r="C32" s="10" t="s">
        <v>302</v>
      </c>
      <c r="D32" s="10" t="s">
        <v>554</v>
      </c>
      <c r="E32" s="10" t="s">
        <v>39</v>
      </c>
      <c r="F32" s="10" t="s">
        <v>569</v>
      </c>
      <c r="G32" s="10" t="s">
        <v>25</v>
      </c>
      <c r="H32" s="10">
        <v>10</v>
      </c>
      <c r="I32" s="12" t="s">
        <v>310</v>
      </c>
      <c r="J32" s="12" t="s">
        <v>306</v>
      </c>
    </row>
    <row r="33" spans="1:10" x14ac:dyDescent="0.3">
      <c r="A33" s="10" t="s">
        <v>695</v>
      </c>
      <c r="B33" s="10" t="s">
        <v>322</v>
      </c>
      <c r="C33" s="10" t="s">
        <v>323</v>
      </c>
      <c r="D33" s="10" t="s">
        <v>555</v>
      </c>
      <c r="E33" s="10" t="s">
        <v>742</v>
      </c>
      <c r="F33" s="10" t="s">
        <v>570</v>
      </c>
      <c r="G33" s="10" t="s">
        <v>25</v>
      </c>
      <c r="H33" s="10">
        <v>10</v>
      </c>
      <c r="I33" s="12" t="s">
        <v>325</v>
      </c>
      <c r="J33" s="12" t="s">
        <v>324</v>
      </c>
    </row>
    <row r="34" spans="1:10" x14ac:dyDescent="0.3">
      <c r="A34" s="10" t="s">
        <v>696</v>
      </c>
      <c r="B34" s="10" t="s">
        <v>629</v>
      </c>
      <c r="C34" s="11" t="s">
        <v>334</v>
      </c>
      <c r="D34" s="10" t="s">
        <v>556</v>
      </c>
      <c r="E34" s="10" t="s">
        <v>743</v>
      </c>
      <c r="F34" s="10" t="s">
        <v>570</v>
      </c>
      <c r="G34" s="10" t="s">
        <v>25</v>
      </c>
      <c r="H34" s="10" t="s">
        <v>55</v>
      </c>
      <c r="I34" s="12" t="s">
        <v>336</v>
      </c>
      <c r="J34" s="12" t="s">
        <v>335</v>
      </c>
    </row>
    <row r="35" spans="1:10" x14ac:dyDescent="0.3">
      <c r="A35" s="10" t="s">
        <v>398</v>
      </c>
      <c r="B35" s="10" t="s">
        <v>629</v>
      </c>
      <c r="C35" s="11" t="s">
        <v>399</v>
      </c>
      <c r="D35" s="10" t="s">
        <v>557</v>
      </c>
      <c r="E35" s="10" t="s">
        <v>744</v>
      </c>
      <c r="F35" s="10" t="s">
        <v>570</v>
      </c>
      <c r="G35" s="10" t="s">
        <v>25</v>
      </c>
      <c r="H35" s="10" t="s">
        <v>55</v>
      </c>
      <c r="I35" s="12" t="s">
        <v>400</v>
      </c>
      <c r="J35" s="12" t="s">
        <v>401</v>
      </c>
    </row>
    <row r="36" spans="1:10" x14ac:dyDescent="0.3">
      <c r="A36" s="16" t="s">
        <v>697</v>
      </c>
      <c r="B36" s="10" t="s">
        <v>5</v>
      </c>
      <c r="C36" s="11" t="s">
        <v>411</v>
      </c>
      <c r="D36" s="10" t="s">
        <v>558</v>
      </c>
      <c r="E36" s="10" t="s">
        <v>745</v>
      </c>
      <c r="F36" s="10" t="s">
        <v>571</v>
      </c>
      <c r="G36" s="10" t="s">
        <v>25</v>
      </c>
      <c r="H36" s="10">
        <v>10</v>
      </c>
      <c r="I36" s="12" t="s">
        <v>412</v>
      </c>
      <c r="J36" s="12" t="s">
        <v>404</v>
      </c>
    </row>
    <row r="37" spans="1:10" ht="16.5" x14ac:dyDescent="0.3">
      <c r="A37" s="16" t="s">
        <v>698</v>
      </c>
      <c r="B37" s="10" t="s">
        <v>406</v>
      </c>
      <c r="C37" s="11" t="s">
        <v>415</v>
      </c>
      <c r="D37" s="11" t="s">
        <v>55</v>
      </c>
      <c r="E37" s="10" t="s">
        <v>745</v>
      </c>
      <c r="F37" s="10" t="s">
        <v>606</v>
      </c>
      <c r="G37" s="10" t="s">
        <v>72</v>
      </c>
      <c r="H37" s="10" t="s">
        <v>55</v>
      </c>
      <c r="I37" s="10" t="s">
        <v>55</v>
      </c>
      <c r="J37" s="10" t="s">
        <v>55</v>
      </c>
    </row>
    <row r="38" spans="1:10" x14ac:dyDescent="0.3">
      <c r="A38" s="16" t="s">
        <v>699</v>
      </c>
      <c r="B38" s="10" t="s">
        <v>406</v>
      </c>
      <c r="C38" s="10" t="s">
        <v>414</v>
      </c>
      <c r="D38" s="10" t="s">
        <v>55</v>
      </c>
      <c r="E38" s="10" t="s">
        <v>745</v>
      </c>
      <c r="F38" s="10" t="s">
        <v>606</v>
      </c>
      <c r="G38" s="10" t="s">
        <v>72</v>
      </c>
      <c r="H38" s="10" t="s">
        <v>55</v>
      </c>
      <c r="I38" s="12" t="s">
        <v>413</v>
      </c>
      <c r="J38" s="10" t="s">
        <v>55</v>
      </c>
    </row>
    <row r="39" spans="1:10" ht="16.5" x14ac:dyDescent="0.3">
      <c r="A39" s="16" t="s">
        <v>700</v>
      </c>
      <c r="B39" s="10" t="s">
        <v>406</v>
      </c>
      <c r="C39" s="20" t="s">
        <v>55</v>
      </c>
      <c r="D39" s="20" t="s">
        <v>55</v>
      </c>
      <c r="E39" s="10" t="s">
        <v>746</v>
      </c>
      <c r="F39" s="10" t="s">
        <v>607</v>
      </c>
      <c r="G39" s="10" t="s">
        <v>72</v>
      </c>
      <c r="H39" s="10" t="s">
        <v>55</v>
      </c>
      <c r="I39" s="10" t="s">
        <v>55</v>
      </c>
      <c r="J39" s="10" t="s">
        <v>55</v>
      </c>
    </row>
    <row r="40" spans="1:10" ht="16.5" x14ac:dyDescent="0.3">
      <c r="A40" s="16" t="s">
        <v>701</v>
      </c>
      <c r="B40" s="10" t="s">
        <v>406</v>
      </c>
      <c r="C40" s="20" t="s">
        <v>55</v>
      </c>
      <c r="D40" s="20" t="s">
        <v>55</v>
      </c>
      <c r="E40" s="10" t="s">
        <v>745</v>
      </c>
      <c r="F40" s="10" t="s">
        <v>607</v>
      </c>
      <c r="G40" s="10" t="s">
        <v>72</v>
      </c>
      <c r="H40" s="10" t="s">
        <v>55</v>
      </c>
      <c r="I40" s="10" t="s">
        <v>55</v>
      </c>
      <c r="J40" s="10" t="s">
        <v>55</v>
      </c>
    </row>
    <row r="41" spans="1:10" ht="16.5" x14ac:dyDescent="0.3">
      <c r="A41" s="16" t="s">
        <v>702</v>
      </c>
      <c r="B41" s="10" t="s">
        <v>406</v>
      </c>
      <c r="C41" s="10" t="s">
        <v>55</v>
      </c>
      <c r="D41" s="20" t="s">
        <v>55</v>
      </c>
      <c r="E41" s="10" t="s">
        <v>745</v>
      </c>
      <c r="F41" s="10" t="s">
        <v>607</v>
      </c>
      <c r="G41" s="10" t="s">
        <v>72</v>
      </c>
      <c r="H41" s="10" t="s">
        <v>55</v>
      </c>
      <c r="I41" s="10" t="s">
        <v>55</v>
      </c>
      <c r="J41" s="10" t="s">
        <v>55</v>
      </c>
    </row>
    <row r="42" spans="1:10" x14ac:dyDescent="0.3">
      <c r="A42" s="16" t="s">
        <v>703</v>
      </c>
      <c r="B42" s="10" t="s">
        <v>407</v>
      </c>
      <c r="C42" s="10" t="s">
        <v>410</v>
      </c>
      <c r="D42" s="10" t="s">
        <v>559</v>
      </c>
      <c r="E42" s="10" t="s">
        <v>747</v>
      </c>
      <c r="F42" s="10" t="s">
        <v>607</v>
      </c>
      <c r="G42" s="10" t="s">
        <v>25</v>
      </c>
      <c r="H42" s="10" t="s">
        <v>55</v>
      </c>
      <c r="I42" s="12" t="s">
        <v>409</v>
      </c>
      <c r="J42" s="12" t="s">
        <v>408</v>
      </c>
    </row>
    <row r="43" spans="1:10" ht="16.5" x14ac:dyDescent="0.3">
      <c r="A43" s="16" t="s">
        <v>704</v>
      </c>
      <c r="B43" s="10" t="s">
        <v>406</v>
      </c>
      <c r="C43" s="10" t="s">
        <v>55</v>
      </c>
      <c r="D43" s="10" t="s">
        <v>55</v>
      </c>
      <c r="E43" s="10" t="s">
        <v>748</v>
      </c>
      <c r="F43" s="10" t="s">
        <v>607</v>
      </c>
      <c r="G43" s="10" t="s">
        <v>72</v>
      </c>
      <c r="H43" s="10" t="s">
        <v>55</v>
      </c>
      <c r="I43" s="10" t="s">
        <v>55</v>
      </c>
      <c r="J43" s="10" t="s">
        <v>55</v>
      </c>
    </row>
    <row r="44" spans="1:10" ht="16.5" x14ac:dyDescent="0.3">
      <c r="A44" s="16" t="s">
        <v>705</v>
      </c>
      <c r="B44" s="10" t="s">
        <v>406</v>
      </c>
      <c r="C44" s="10" t="s">
        <v>55</v>
      </c>
      <c r="D44" s="10" t="s">
        <v>55</v>
      </c>
      <c r="E44" s="10" t="s">
        <v>748</v>
      </c>
      <c r="F44" s="10" t="s">
        <v>607</v>
      </c>
      <c r="G44" s="10" t="s">
        <v>72</v>
      </c>
      <c r="H44" s="10" t="s">
        <v>55</v>
      </c>
      <c r="I44" s="10" t="s">
        <v>55</v>
      </c>
      <c r="J44" s="10" t="s">
        <v>55</v>
      </c>
    </row>
    <row r="45" spans="1:10" x14ac:dyDescent="0.3">
      <c r="A45" s="10" t="s">
        <v>706</v>
      </c>
      <c r="B45" s="10" t="s">
        <v>5</v>
      </c>
      <c r="C45" s="11" t="s">
        <v>420</v>
      </c>
      <c r="D45" s="10" t="s">
        <v>560</v>
      </c>
      <c r="E45" s="10" t="s">
        <v>749</v>
      </c>
      <c r="F45" s="10" t="s">
        <v>572</v>
      </c>
      <c r="G45" s="10" t="s">
        <v>25</v>
      </c>
      <c r="H45" s="10" t="s">
        <v>55</v>
      </c>
      <c r="I45" s="12" t="s">
        <v>421</v>
      </c>
      <c r="J45" s="12" t="s">
        <v>422</v>
      </c>
    </row>
    <row r="46" spans="1:10" x14ac:dyDescent="0.3">
      <c r="A46" s="10" t="s">
        <v>707</v>
      </c>
      <c r="B46" s="10" t="s">
        <v>5</v>
      </c>
      <c r="C46" s="11" t="s">
        <v>424</v>
      </c>
      <c r="D46" s="10" t="s">
        <v>561</v>
      </c>
      <c r="E46" s="10" t="s">
        <v>749</v>
      </c>
      <c r="F46" s="10" t="s">
        <v>640</v>
      </c>
      <c r="G46" s="10" t="s">
        <v>25</v>
      </c>
      <c r="H46" s="10" t="s">
        <v>55</v>
      </c>
      <c r="I46" s="12" t="s">
        <v>428</v>
      </c>
      <c r="J46" s="12" t="s">
        <v>426</v>
      </c>
    </row>
    <row r="47" spans="1:10" x14ac:dyDescent="0.3">
      <c r="A47" s="10" t="s">
        <v>708</v>
      </c>
      <c r="B47" s="10" t="s">
        <v>5</v>
      </c>
      <c r="C47" s="11" t="s">
        <v>425</v>
      </c>
      <c r="D47" s="10" t="s">
        <v>562</v>
      </c>
      <c r="E47" s="10" t="s">
        <v>749</v>
      </c>
      <c r="F47" s="10" t="s">
        <v>640</v>
      </c>
      <c r="G47" s="10" t="s">
        <v>25</v>
      </c>
      <c r="H47" s="10" t="s">
        <v>55</v>
      </c>
      <c r="I47" s="12" t="s">
        <v>429</v>
      </c>
      <c r="J47" s="12" t="s">
        <v>427</v>
      </c>
    </row>
    <row r="48" spans="1:10" x14ac:dyDescent="0.3">
      <c r="A48" s="10" t="s">
        <v>434</v>
      </c>
      <c r="B48" s="10" t="s">
        <v>675</v>
      </c>
      <c r="C48" s="10" t="s">
        <v>431</v>
      </c>
      <c r="D48" s="10" t="s">
        <v>563</v>
      </c>
      <c r="E48" s="10" t="s">
        <v>750</v>
      </c>
      <c r="F48" s="10" t="s">
        <v>403</v>
      </c>
      <c r="G48" s="10" t="s">
        <v>25</v>
      </c>
      <c r="H48" s="10" t="s">
        <v>55</v>
      </c>
      <c r="I48" s="12" t="s">
        <v>432</v>
      </c>
      <c r="J48" s="12" t="s">
        <v>433</v>
      </c>
    </row>
    <row r="49" spans="1:10" x14ac:dyDescent="0.3">
      <c r="A49" s="10" t="s">
        <v>439</v>
      </c>
      <c r="B49" s="10" t="s">
        <v>464</v>
      </c>
      <c r="C49" s="11" t="s">
        <v>440</v>
      </c>
      <c r="D49" s="10" t="s">
        <v>564</v>
      </c>
      <c r="E49" s="10" t="s">
        <v>750</v>
      </c>
      <c r="F49" s="10" t="s">
        <v>403</v>
      </c>
      <c r="G49" s="10" t="s">
        <v>25</v>
      </c>
      <c r="H49" s="10" t="s">
        <v>55</v>
      </c>
      <c r="I49" s="12" t="s">
        <v>461</v>
      </c>
      <c r="J49" s="12" t="s">
        <v>441</v>
      </c>
    </row>
    <row r="50" spans="1:10" x14ac:dyDescent="0.3">
      <c r="A50" s="10" t="s">
        <v>437</v>
      </c>
      <c r="B50" s="10" t="s">
        <v>464</v>
      </c>
      <c r="C50" s="10" t="s">
        <v>55</v>
      </c>
      <c r="D50" s="10" t="s">
        <v>55</v>
      </c>
      <c r="E50" s="10" t="s">
        <v>750</v>
      </c>
      <c r="F50" s="10" t="s">
        <v>403</v>
      </c>
      <c r="G50" s="10" t="s">
        <v>72</v>
      </c>
      <c r="H50" s="10" t="s">
        <v>55</v>
      </c>
      <c r="I50" s="10" t="s">
        <v>55</v>
      </c>
      <c r="J50" s="10" t="s">
        <v>55</v>
      </c>
    </row>
    <row r="51" spans="1:10" x14ac:dyDescent="0.3">
      <c r="A51" s="10" t="s">
        <v>438</v>
      </c>
      <c r="B51" s="10" t="s">
        <v>464</v>
      </c>
      <c r="C51" s="10" t="s">
        <v>55</v>
      </c>
      <c r="D51" s="10" t="s">
        <v>55</v>
      </c>
      <c r="E51" s="10" t="s">
        <v>750</v>
      </c>
      <c r="F51" s="10" t="s">
        <v>403</v>
      </c>
      <c r="G51" s="10" t="s">
        <v>72</v>
      </c>
      <c r="H51" s="10" t="s">
        <v>55</v>
      </c>
      <c r="I51" s="10" t="s">
        <v>55</v>
      </c>
      <c r="J51" s="10" t="s">
        <v>55</v>
      </c>
    </row>
    <row r="52" spans="1:10" x14ac:dyDescent="0.3">
      <c r="A52" s="10" t="s">
        <v>442</v>
      </c>
      <c r="B52" s="10" t="s">
        <v>464</v>
      </c>
      <c r="C52" s="10" t="s">
        <v>55</v>
      </c>
      <c r="D52" s="10" t="s">
        <v>55</v>
      </c>
      <c r="E52" s="10" t="s">
        <v>750</v>
      </c>
      <c r="F52" s="10" t="s">
        <v>403</v>
      </c>
      <c r="G52" s="10" t="s">
        <v>72</v>
      </c>
      <c r="H52" s="10" t="s">
        <v>55</v>
      </c>
      <c r="I52" s="10" t="s">
        <v>55</v>
      </c>
      <c r="J52" s="10" t="s">
        <v>55</v>
      </c>
    </row>
    <row r="53" spans="1:10" x14ac:dyDescent="0.3">
      <c r="A53" s="10" t="s">
        <v>443</v>
      </c>
      <c r="B53" s="10" t="s">
        <v>464</v>
      </c>
      <c r="C53" s="10" t="s">
        <v>55</v>
      </c>
      <c r="D53" s="10" t="s">
        <v>55</v>
      </c>
      <c r="E53" s="10" t="s">
        <v>750</v>
      </c>
      <c r="F53" s="10" t="s">
        <v>403</v>
      </c>
      <c r="G53" s="10" t="s">
        <v>72</v>
      </c>
      <c r="H53" s="10" t="s">
        <v>55</v>
      </c>
      <c r="I53" s="10" t="s">
        <v>55</v>
      </c>
      <c r="J53" s="10" t="s">
        <v>55</v>
      </c>
    </row>
    <row r="54" spans="1:10" x14ac:dyDescent="0.3">
      <c r="A54" s="10" t="s">
        <v>444</v>
      </c>
      <c r="B54" s="10" t="s">
        <v>464</v>
      </c>
      <c r="C54" s="10" t="s">
        <v>55</v>
      </c>
      <c r="D54" s="10" t="s">
        <v>55</v>
      </c>
      <c r="E54" s="10" t="s">
        <v>750</v>
      </c>
      <c r="F54" s="10" t="s">
        <v>403</v>
      </c>
      <c r="G54" s="10" t="s">
        <v>72</v>
      </c>
      <c r="H54" s="10" t="s">
        <v>55</v>
      </c>
      <c r="I54" s="10" t="s">
        <v>55</v>
      </c>
      <c r="J54" s="10" t="s">
        <v>55</v>
      </c>
    </row>
    <row r="55" spans="1:10" x14ac:dyDescent="0.3">
      <c r="A55" s="10" t="s">
        <v>445</v>
      </c>
      <c r="B55" s="10" t="s">
        <v>464</v>
      </c>
      <c r="C55" s="10" t="s">
        <v>456</v>
      </c>
      <c r="D55" s="10" t="s">
        <v>565</v>
      </c>
      <c r="E55" s="10" t="s">
        <v>750</v>
      </c>
      <c r="F55" s="10" t="s">
        <v>403</v>
      </c>
      <c r="G55" s="10" t="s">
        <v>25</v>
      </c>
      <c r="H55" s="10" t="s">
        <v>55</v>
      </c>
      <c r="I55" s="12" t="s">
        <v>457</v>
      </c>
      <c r="J55" s="12" t="s">
        <v>458</v>
      </c>
    </row>
    <row r="56" spans="1:10" x14ac:dyDescent="0.3">
      <c r="A56" s="10" t="s">
        <v>446</v>
      </c>
      <c r="B56" s="10" t="s">
        <v>464</v>
      </c>
      <c r="C56" s="10" t="s">
        <v>55</v>
      </c>
      <c r="D56" s="10" t="s">
        <v>55</v>
      </c>
      <c r="E56" s="10" t="s">
        <v>750</v>
      </c>
      <c r="F56" s="10" t="s">
        <v>403</v>
      </c>
      <c r="G56" s="10" t="s">
        <v>72</v>
      </c>
      <c r="H56" s="10" t="s">
        <v>55</v>
      </c>
      <c r="I56" s="10" t="s">
        <v>55</v>
      </c>
      <c r="J56" s="10" t="s">
        <v>55</v>
      </c>
    </row>
    <row r="57" spans="1:10" x14ac:dyDescent="0.3">
      <c r="A57" s="10" t="s">
        <v>447</v>
      </c>
      <c r="B57" s="10" t="s">
        <v>464</v>
      </c>
      <c r="C57" s="10" t="s">
        <v>55</v>
      </c>
      <c r="D57" s="10" t="s">
        <v>55</v>
      </c>
      <c r="E57" s="10" t="s">
        <v>750</v>
      </c>
      <c r="F57" s="10" t="s">
        <v>403</v>
      </c>
      <c r="G57" s="10" t="s">
        <v>72</v>
      </c>
      <c r="H57" s="10" t="s">
        <v>55</v>
      </c>
      <c r="I57" s="10" t="s">
        <v>55</v>
      </c>
      <c r="J57" s="10" t="s">
        <v>55</v>
      </c>
    </row>
    <row r="58" spans="1:10" x14ac:dyDescent="0.3">
      <c r="A58" s="10" t="s">
        <v>448</v>
      </c>
      <c r="B58" s="10" t="s">
        <v>464</v>
      </c>
      <c r="C58" s="10" t="s">
        <v>55</v>
      </c>
      <c r="D58" s="10" t="s">
        <v>55</v>
      </c>
      <c r="E58" s="10" t="s">
        <v>750</v>
      </c>
      <c r="F58" s="10" t="s">
        <v>403</v>
      </c>
      <c r="G58" s="10" t="s">
        <v>72</v>
      </c>
      <c r="H58" s="10" t="s">
        <v>55</v>
      </c>
      <c r="I58" s="10" t="s">
        <v>55</v>
      </c>
      <c r="J58" s="10" t="s">
        <v>55</v>
      </c>
    </row>
    <row r="59" spans="1:10" x14ac:dyDescent="0.3">
      <c r="A59" s="10" t="s">
        <v>449</v>
      </c>
      <c r="B59" s="10" t="s">
        <v>464</v>
      </c>
      <c r="C59" s="10" t="s">
        <v>55</v>
      </c>
      <c r="D59" s="10" t="s">
        <v>55</v>
      </c>
      <c r="E59" s="10" t="s">
        <v>750</v>
      </c>
      <c r="F59" s="10" t="s">
        <v>403</v>
      </c>
      <c r="G59" s="10" t="s">
        <v>72</v>
      </c>
      <c r="H59" s="10" t="s">
        <v>55</v>
      </c>
      <c r="I59" s="10" t="s">
        <v>55</v>
      </c>
      <c r="J59" s="10" t="s">
        <v>55</v>
      </c>
    </row>
    <row r="60" spans="1:10" x14ac:dyDescent="0.3">
      <c r="A60" s="10" t="s">
        <v>450</v>
      </c>
      <c r="B60" s="10" t="s">
        <v>464</v>
      </c>
      <c r="C60" s="10" t="s">
        <v>55</v>
      </c>
      <c r="D60" s="10" t="s">
        <v>55</v>
      </c>
      <c r="E60" s="10" t="s">
        <v>750</v>
      </c>
      <c r="F60" s="10" t="s">
        <v>403</v>
      </c>
      <c r="G60" s="10" t="s">
        <v>72</v>
      </c>
      <c r="H60" s="10" t="s">
        <v>55</v>
      </c>
      <c r="I60" s="10" t="s">
        <v>55</v>
      </c>
      <c r="J60" s="10" t="s">
        <v>55</v>
      </c>
    </row>
    <row r="61" spans="1:10" x14ac:dyDescent="0.3">
      <c r="A61" s="10" t="s">
        <v>451</v>
      </c>
      <c r="B61" s="10" t="s">
        <v>464</v>
      </c>
      <c r="C61" s="10" t="s">
        <v>55</v>
      </c>
      <c r="D61" s="10" t="s">
        <v>55</v>
      </c>
      <c r="E61" s="10" t="s">
        <v>750</v>
      </c>
      <c r="F61" s="10" t="s">
        <v>403</v>
      </c>
      <c r="G61" s="10" t="s">
        <v>72</v>
      </c>
      <c r="H61" s="10" t="s">
        <v>55</v>
      </c>
      <c r="I61" s="10" t="s">
        <v>55</v>
      </c>
      <c r="J61" s="10" t="s">
        <v>55</v>
      </c>
    </row>
    <row r="62" spans="1:10" x14ac:dyDescent="0.3">
      <c r="A62" s="10" t="s">
        <v>452</v>
      </c>
      <c r="B62" s="10" t="s">
        <v>464</v>
      </c>
      <c r="C62" s="10" t="s">
        <v>55</v>
      </c>
      <c r="D62" s="10" t="s">
        <v>55</v>
      </c>
      <c r="E62" s="10" t="s">
        <v>750</v>
      </c>
      <c r="F62" s="10" t="s">
        <v>403</v>
      </c>
      <c r="G62" s="10" t="s">
        <v>72</v>
      </c>
      <c r="H62" s="10" t="s">
        <v>55</v>
      </c>
      <c r="I62" s="10" t="s">
        <v>55</v>
      </c>
      <c r="J62" s="10" t="s">
        <v>55</v>
      </c>
    </row>
    <row r="63" spans="1:10" x14ac:dyDescent="0.3">
      <c r="A63" s="10" t="s">
        <v>453</v>
      </c>
      <c r="B63" s="10" t="s">
        <v>464</v>
      </c>
      <c r="C63" s="10" t="s">
        <v>55</v>
      </c>
      <c r="D63" s="10" t="s">
        <v>55</v>
      </c>
      <c r="E63" s="10" t="s">
        <v>750</v>
      </c>
      <c r="F63" s="10" t="s">
        <v>403</v>
      </c>
      <c r="G63" s="10" t="s">
        <v>72</v>
      </c>
      <c r="H63" s="10" t="s">
        <v>55</v>
      </c>
      <c r="I63" s="10" t="s">
        <v>55</v>
      </c>
      <c r="J63" s="10" t="s">
        <v>55</v>
      </c>
    </row>
    <row r="64" spans="1:10" x14ac:dyDescent="0.3">
      <c r="A64" s="10" t="s">
        <v>454</v>
      </c>
      <c r="B64" s="10" t="s">
        <v>464</v>
      </c>
      <c r="C64" s="10" t="s">
        <v>55</v>
      </c>
      <c r="D64" s="10" t="s">
        <v>55</v>
      </c>
      <c r="E64" s="10" t="s">
        <v>750</v>
      </c>
      <c r="F64" s="10" t="s">
        <v>403</v>
      </c>
      <c r="G64" s="10" t="s">
        <v>72</v>
      </c>
      <c r="H64" s="10" t="s">
        <v>55</v>
      </c>
      <c r="I64" s="10" t="s">
        <v>55</v>
      </c>
      <c r="J64" s="10" t="s">
        <v>55</v>
      </c>
    </row>
    <row r="65" spans="1:10" x14ac:dyDescent="0.3">
      <c r="A65" s="10" t="s">
        <v>455</v>
      </c>
      <c r="B65" s="10" t="s">
        <v>464</v>
      </c>
      <c r="C65" s="11" t="s">
        <v>459</v>
      </c>
      <c r="D65" s="10" t="s">
        <v>566</v>
      </c>
      <c r="E65" s="10" t="s">
        <v>750</v>
      </c>
      <c r="F65" s="10" t="s">
        <v>403</v>
      </c>
      <c r="G65" s="10" t="s">
        <v>25</v>
      </c>
      <c r="H65" s="10" t="s">
        <v>55</v>
      </c>
      <c r="I65" s="12" t="s">
        <v>460</v>
      </c>
      <c r="J65" s="12" t="s">
        <v>644</v>
      </c>
    </row>
    <row r="66" spans="1:10" x14ac:dyDescent="0.3">
      <c r="A66" s="10" t="s">
        <v>465</v>
      </c>
      <c r="B66" s="10" t="s">
        <v>14</v>
      </c>
      <c r="C66" s="10" t="s">
        <v>55</v>
      </c>
      <c r="D66" s="10" t="s">
        <v>55</v>
      </c>
      <c r="E66" s="10" t="s">
        <v>750</v>
      </c>
      <c r="F66" s="10" t="s">
        <v>403</v>
      </c>
      <c r="G66" s="10" t="s">
        <v>72</v>
      </c>
      <c r="H66" s="10" t="s">
        <v>55</v>
      </c>
      <c r="I66" s="10" t="s">
        <v>55</v>
      </c>
      <c r="J66" s="10" t="s">
        <v>55</v>
      </c>
    </row>
    <row r="67" spans="1:10" x14ac:dyDescent="0.3">
      <c r="A67" s="10" t="s">
        <v>466</v>
      </c>
      <c r="B67" s="10" t="s">
        <v>14</v>
      </c>
      <c r="C67" s="10" t="s">
        <v>55</v>
      </c>
      <c r="D67" s="10" t="s">
        <v>55</v>
      </c>
      <c r="E67" s="10" t="s">
        <v>750</v>
      </c>
      <c r="F67" s="10" t="s">
        <v>403</v>
      </c>
      <c r="G67" s="10" t="s">
        <v>72</v>
      </c>
      <c r="H67" s="10" t="s">
        <v>55</v>
      </c>
      <c r="I67" s="10" t="s">
        <v>55</v>
      </c>
      <c r="J67" s="10" t="s">
        <v>55</v>
      </c>
    </row>
    <row r="68" spans="1:10" x14ac:dyDescent="0.3">
      <c r="A68" s="10" t="s">
        <v>467</v>
      </c>
      <c r="B68" s="10" t="s">
        <v>14</v>
      </c>
      <c r="C68" s="10" t="s">
        <v>55</v>
      </c>
      <c r="D68" s="10" t="s">
        <v>55</v>
      </c>
      <c r="E68" s="10" t="s">
        <v>750</v>
      </c>
      <c r="F68" s="10" t="s">
        <v>403</v>
      </c>
      <c r="G68" s="10" t="s">
        <v>72</v>
      </c>
      <c r="H68" s="10" t="s">
        <v>55</v>
      </c>
      <c r="I68" s="10" t="s">
        <v>55</v>
      </c>
      <c r="J68" s="10" t="s">
        <v>55</v>
      </c>
    </row>
    <row r="69" spans="1:10" x14ac:dyDescent="0.3">
      <c r="A69" s="10" t="s">
        <v>468</v>
      </c>
      <c r="B69" s="10" t="s">
        <v>14</v>
      </c>
      <c r="C69" s="10" t="s">
        <v>55</v>
      </c>
      <c r="D69" s="10" t="s">
        <v>55</v>
      </c>
      <c r="E69" s="10" t="s">
        <v>750</v>
      </c>
      <c r="F69" s="10" t="s">
        <v>403</v>
      </c>
      <c r="G69" s="10" t="s">
        <v>72</v>
      </c>
      <c r="H69" s="10" t="s">
        <v>55</v>
      </c>
      <c r="I69" s="10" t="s">
        <v>55</v>
      </c>
      <c r="J69" s="10" t="s">
        <v>55</v>
      </c>
    </row>
    <row r="70" spans="1:10" x14ac:dyDescent="0.3">
      <c r="A70" s="10" t="s">
        <v>709</v>
      </c>
      <c r="B70" s="10" t="s">
        <v>406</v>
      </c>
      <c r="C70" s="10" t="s">
        <v>516</v>
      </c>
      <c r="D70" s="10" t="s">
        <v>567</v>
      </c>
      <c r="E70" s="10" t="s">
        <v>751</v>
      </c>
      <c r="F70" s="10" t="s">
        <v>640</v>
      </c>
      <c r="G70" s="10" t="s">
        <v>25</v>
      </c>
      <c r="H70" s="10" t="s">
        <v>55</v>
      </c>
      <c r="I70" s="12" t="s">
        <v>518</v>
      </c>
      <c r="J70" s="12" t="s">
        <v>517</v>
      </c>
    </row>
    <row r="71" spans="1:10" ht="16.5" x14ac:dyDescent="0.3">
      <c r="A71" s="10" t="s">
        <v>710</v>
      </c>
      <c r="B71" s="10" t="s">
        <v>406</v>
      </c>
      <c r="C71" s="10" t="s">
        <v>55</v>
      </c>
      <c r="D71" s="10" t="s">
        <v>55</v>
      </c>
      <c r="E71" s="10" t="s">
        <v>751</v>
      </c>
      <c r="F71" s="10" t="s">
        <v>640</v>
      </c>
      <c r="G71" s="10" t="s">
        <v>25</v>
      </c>
      <c r="H71" s="10" t="s">
        <v>55</v>
      </c>
      <c r="I71" s="10" t="s">
        <v>55</v>
      </c>
      <c r="J71" s="12" t="s">
        <v>517</v>
      </c>
    </row>
    <row r="72" spans="1:10" ht="16.5" x14ac:dyDescent="0.3">
      <c r="A72" s="10" t="s">
        <v>711</v>
      </c>
      <c r="B72" s="10" t="s">
        <v>406</v>
      </c>
      <c r="C72" s="10" t="s">
        <v>55</v>
      </c>
      <c r="D72" s="10" t="s">
        <v>55</v>
      </c>
      <c r="E72" s="10" t="s">
        <v>751</v>
      </c>
      <c r="F72" s="10" t="s">
        <v>640</v>
      </c>
      <c r="G72" s="10" t="s">
        <v>25</v>
      </c>
      <c r="H72" s="10" t="s">
        <v>55</v>
      </c>
      <c r="I72" s="10" t="s">
        <v>55</v>
      </c>
      <c r="J72" s="12" t="s">
        <v>524</v>
      </c>
    </row>
    <row r="73" spans="1:10" x14ac:dyDescent="0.3">
      <c r="A73" s="10" t="s">
        <v>712</v>
      </c>
      <c r="B73" s="10" t="s">
        <v>406</v>
      </c>
      <c r="C73" s="11" t="s">
        <v>520</v>
      </c>
      <c r="D73" s="10" t="s">
        <v>568</v>
      </c>
      <c r="E73" s="10" t="s">
        <v>751</v>
      </c>
      <c r="F73" s="10" t="s">
        <v>640</v>
      </c>
      <c r="G73" s="10" t="s">
        <v>25</v>
      </c>
      <c r="H73" s="10">
        <v>1</v>
      </c>
      <c r="I73" s="12" t="s">
        <v>521</v>
      </c>
      <c r="J73" s="12" t="s">
        <v>519</v>
      </c>
    </row>
    <row r="74" spans="1:10" x14ac:dyDescent="0.3">
      <c r="A74" s="10" t="s">
        <v>525</v>
      </c>
      <c r="B74" s="10" t="s">
        <v>526</v>
      </c>
      <c r="C74" s="10" t="s">
        <v>55</v>
      </c>
      <c r="D74" s="10" t="s">
        <v>55</v>
      </c>
      <c r="E74" s="10" t="s">
        <v>752</v>
      </c>
      <c r="F74" s="10" t="s">
        <v>403</v>
      </c>
      <c r="G74" s="10" t="s">
        <v>72</v>
      </c>
      <c r="H74" s="10" t="s">
        <v>55</v>
      </c>
      <c r="I74" s="10" t="s">
        <v>55</v>
      </c>
      <c r="J74" s="10" t="s">
        <v>55</v>
      </c>
    </row>
    <row r="75" spans="1:10" x14ac:dyDescent="0.3">
      <c r="A75" s="10" t="s">
        <v>578</v>
      </c>
      <c r="B75" s="10" t="s">
        <v>629</v>
      </c>
      <c r="C75" s="11" t="s">
        <v>579</v>
      </c>
      <c r="D75" s="10" t="s">
        <v>588</v>
      </c>
      <c r="E75" s="10" t="s">
        <v>39</v>
      </c>
      <c r="F75" s="10" t="s">
        <v>569</v>
      </c>
      <c r="G75" s="10" t="s">
        <v>25</v>
      </c>
      <c r="H75" s="10">
        <v>1000</v>
      </c>
      <c r="I75" s="12" t="s">
        <v>580</v>
      </c>
      <c r="J75" s="12" t="s">
        <v>581</v>
      </c>
    </row>
    <row r="76" spans="1:10" x14ac:dyDescent="0.3">
      <c r="A76" s="10" t="s">
        <v>573</v>
      </c>
      <c r="B76" s="10" t="s">
        <v>629</v>
      </c>
      <c r="C76" s="11" t="s">
        <v>586</v>
      </c>
      <c r="D76" s="10" t="s">
        <v>592</v>
      </c>
      <c r="E76" s="10" t="s">
        <v>39</v>
      </c>
      <c r="F76" s="10" t="s">
        <v>569</v>
      </c>
      <c r="G76" s="10" t="s">
        <v>25</v>
      </c>
      <c r="H76" s="10">
        <v>1000000</v>
      </c>
      <c r="I76" s="12" t="s">
        <v>591</v>
      </c>
      <c r="J76" s="12" t="s">
        <v>587</v>
      </c>
    </row>
    <row r="77" spans="1:10" x14ac:dyDescent="0.3">
      <c r="A77" s="10" t="s">
        <v>713</v>
      </c>
      <c r="B77" s="10" t="s">
        <v>629</v>
      </c>
      <c r="C77" s="10" t="s">
        <v>576</v>
      </c>
      <c r="D77" s="10" t="s">
        <v>577</v>
      </c>
      <c r="E77" s="10" t="s">
        <v>39</v>
      </c>
      <c r="F77" s="10" t="s">
        <v>569</v>
      </c>
      <c r="G77" s="10" t="s">
        <v>25</v>
      </c>
      <c r="H77" s="10" t="s">
        <v>55</v>
      </c>
      <c r="I77" s="12" t="s">
        <v>575</v>
      </c>
      <c r="J77" s="12" t="s">
        <v>574</v>
      </c>
    </row>
    <row r="78" spans="1:10" x14ac:dyDescent="0.3">
      <c r="A78" s="10" t="s">
        <v>714</v>
      </c>
      <c r="B78" s="10" t="s">
        <v>629</v>
      </c>
      <c r="C78" s="11" t="s">
        <v>583</v>
      </c>
      <c r="D78" s="10" t="s">
        <v>595</v>
      </c>
      <c r="E78" s="10" t="s">
        <v>39</v>
      </c>
      <c r="F78" s="10" t="s">
        <v>569</v>
      </c>
      <c r="G78" s="10" t="s">
        <v>25</v>
      </c>
      <c r="H78" s="10">
        <v>1000000</v>
      </c>
      <c r="I78" s="12" t="s">
        <v>596</v>
      </c>
      <c r="J78" s="12" t="s">
        <v>582</v>
      </c>
    </row>
    <row r="79" spans="1:10" x14ac:dyDescent="0.3">
      <c r="A79" s="10" t="s">
        <v>715</v>
      </c>
      <c r="B79" s="10" t="s">
        <v>629</v>
      </c>
      <c r="C79" s="11" t="s">
        <v>584</v>
      </c>
      <c r="D79" s="10" t="s">
        <v>599</v>
      </c>
      <c r="E79" s="10" t="s">
        <v>39</v>
      </c>
      <c r="F79" s="10" t="s">
        <v>569</v>
      </c>
      <c r="G79" s="10" t="s">
        <v>25</v>
      </c>
      <c r="H79" s="10">
        <v>1000000</v>
      </c>
      <c r="I79" s="12" t="s">
        <v>600</v>
      </c>
      <c r="J79" s="12" t="s">
        <v>585</v>
      </c>
    </row>
    <row r="80" spans="1:10" x14ac:dyDescent="0.3">
      <c r="A80" s="10" t="s">
        <v>601</v>
      </c>
      <c r="B80" s="10" t="s">
        <v>670</v>
      </c>
      <c r="C80" s="10" t="s">
        <v>55</v>
      </c>
      <c r="D80" s="10" t="s">
        <v>610</v>
      </c>
      <c r="E80" s="10" t="s">
        <v>638</v>
      </c>
      <c r="F80" s="10" t="s">
        <v>604</v>
      </c>
      <c r="G80" s="10" t="s">
        <v>25</v>
      </c>
      <c r="H80" s="10">
        <v>100</v>
      </c>
      <c r="I80" s="12" t="s">
        <v>615</v>
      </c>
      <c r="J80" s="12" t="s">
        <v>609</v>
      </c>
    </row>
    <row r="81" spans="1:10" x14ac:dyDescent="0.3">
      <c r="A81" s="10" t="s">
        <v>602</v>
      </c>
      <c r="B81" s="10" t="s">
        <v>671</v>
      </c>
      <c r="C81" s="11" t="s">
        <v>608</v>
      </c>
      <c r="D81" s="10" t="s">
        <v>612</v>
      </c>
      <c r="E81" s="10" t="s">
        <v>638</v>
      </c>
      <c r="F81" s="10" t="s">
        <v>604</v>
      </c>
      <c r="G81" s="10" t="s">
        <v>25</v>
      </c>
      <c r="H81" s="10">
        <v>1000000</v>
      </c>
      <c r="I81" s="12" t="s">
        <v>611</v>
      </c>
      <c r="J81" s="12" t="s">
        <v>603</v>
      </c>
    </row>
  </sheetData>
  <mergeCells count="9">
    <mergeCell ref="A1:K1"/>
    <mergeCell ref="N2:O2"/>
    <mergeCell ref="AB2:AC2"/>
    <mergeCell ref="S2:T2"/>
    <mergeCell ref="U2:V2"/>
    <mergeCell ref="Y2:Z2"/>
    <mergeCell ref="L2:M2"/>
    <mergeCell ref="P2:Q2"/>
    <mergeCell ref="W2:X2"/>
  </mergeCells>
  <phoneticPr fontId="1" type="noConversion"/>
  <hyperlinks>
    <hyperlink ref="I3" r:id="rId1"/>
    <hyperlink ref="I4" r:id="rId2"/>
    <hyperlink ref="I5" r:id="rId3"/>
    <hyperlink ref="I6" r:id="rId4"/>
    <hyperlink ref="I7" r:id="rId5"/>
    <hyperlink ref="I8" r:id="rId6"/>
    <hyperlink ref="I9" r:id="rId7"/>
    <hyperlink ref="J3" r:id="rId8"/>
    <hyperlink ref="J4" r:id="rId9"/>
    <hyperlink ref="J5" r:id="rId10"/>
    <hyperlink ref="J6" r:id="rId11"/>
    <hyperlink ref="J7" r:id="rId12"/>
    <hyperlink ref="J8" r:id="rId13"/>
    <hyperlink ref="J9" r:id="rId14"/>
    <hyperlink ref="J10" r:id="rId15"/>
    <hyperlink ref="I17" r:id="rId16"/>
    <hyperlink ref="I16" r:id="rId17"/>
    <hyperlink ref="J16" r:id="rId18"/>
    <hyperlink ref="J17" r:id="rId19"/>
    <hyperlink ref="J18" r:id="rId20"/>
    <hyperlink ref="I18" r:id="rId21"/>
    <hyperlink ref="J19" r:id="rId22"/>
    <hyperlink ref="I19" r:id="rId23"/>
    <hyperlink ref="I20" r:id="rId24"/>
    <hyperlink ref="J20" r:id="rId25"/>
    <hyperlink ref="I21" r:id="rId26"/>
    <hyperlink ref="J21" r:id="rId27"/>
    <hyperlink ref="I22" r:id="rId28"/>
    <hyperlink ref="J22" r:id="rId29"/>
    <hyperlink ref="J23" r:id="rId30"/>
    <hyperlink ref="J24" r:id="rId31"/>
    <hyperlink ref="J25" r:id="rId32"/>
    <hyperlink ref="J26" r:id="rId33"/>
    <hyperlink ref="J27" r:id="rId34"/>
    <hyperlink ref="I27" r:id="rId35"/>
    <hyperlink ref="I28" r:id="rId36"/>
    <hyperlink ref="J28" r:id="rId37"/>
    <hyperlink ref="J29" r:id="rId38"/>
    <hyperlink ref="J30" r:id="rId39"/>
    <hyperlink ref="J31" r:id="rId40"/>
    <hyperlink ref="J32" r:id="rId41"/>
    <hyperlink ref="I29" r:id="rId42"/>
    <hyperlink ref="I30" r:id="rId43"/>
    <hyperlink ref="I31" r:id="rId44"/>
    <hyperlink ref="I32" r:id="rId45"/>
    <hyperlink ref="I23" r:id="rId46"/>
    <hyperlink ref="I24" r:id="rId47"/>
    <hyperlink ref="I25" r:id="rId48"/>
    <hyperlink ref="J33" r:id="rId49"/>
    <hyperlink ref="I33" r:id="rId50"/>
    <hyperlink ref="J34" r:id="rId51"/>
    <hyperlink ref="I34" r:id="rId52"/>
    <hyperlink ref="I35" r:id="rId53"/>
    <hyperlink ref="J35" r:id="rId54"/>
    <hyperlink ref="J36" r:id="rId55"/>
    <hyperlink ref="J42" r:id="rId56"/>
    <hyperlink ref="I42" r:id="rId57"/>
    <hyperlink ref="I36" r:id="rId58"/>
    <hyperlink ref="I38" r:id="rId59"/>
    <hyperlink ref="I45" r:id="rId60"/>
    <hyperlink ref="J45" r:id="rId61"/>
    <hyperlink ref="J46" r:id="rId62"/>
    <hyperlink ref="J47" r:id="rId63"/>
    <hyperlink ref="I46" r:id="rId64"/>
    <hyperlink ref="I47" r:id="rId65"/>
    <hyperlink ref="I48" r:id="rId66"/>
    <hyperlink ref="J48" r:id="rId67"/>
    <hyperlink ref="I55" r:id="rId68"/>
    <hyperlink ref="J55" r:id="rId69"/>
    <hyperlink ref="I65" r:id="rId70"/>
    <hyperlink ref="I49" r:id="rId71"/>
    <hyperlink ref="J70" r:id="rId72"/>
    <hyperlink ref="I70" r:id="rId73"/>
    <hyperlink ref="J71" r:id="rId74"/>
    <hyperlink ref="J73" r:id="rId75"/>
    <hyperlink ref="I73" r:id="rId76"/>
    <hyperlink ref="J72" r:id="rId77"/>
    <hyperlink ref="J77" r:id="rId78"/>
    <hyperlink ref="I77" r:id="rId79"/>
    <hyperlink ref="I75" r:id="rId80"/>
    <hyperlink ref="J75" r:id="rId81"/>
    <hyperlink ref="J78" r:id="rId82"/>
    <hyperlink ref="J79" r:id="rId83"/>
    <hyperlink ref="J76" r:id="rId84"/>
    <hyperlink ref="I76" r:id="rId85"/>
    <hyperlink ref="I78" r:id="rId86"/>
    <hyperlink ref="I79" r:id="rId87"/>
    <hyperlink ref="J81" r:id="rId88"/>
    <hyperlink ref="J80" r:id="rId89"/>
    <hyperlink ref="I81" r:id="rId90"/>
    <hyperlink ref="I80" r:id="rId91"/>
    <hyperlink ref="J65" r:id="rId92"/>
    <hyperlink ref="I26" r:id="rId93"/>
  </hyperlinks>
  <pageMargins left="0.7" right="0.7" top="0.75" bottom="0.75" header="0.3" footer="0.3"/>
  <pageSetup paperSize="9" orientation="portrait" r:id="rId94"/>
  <legacyDrawing r:id="rId95"/>
  <tableParts count="1">
    <tablePart r:id="rId96"/>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100"/>
  <sheetViews>
    <sheetView zoomScaleNormal="100" workbookViewId="0">
      <pane xSplit="1" topLeftCell="B1" activePane="topRight" state="frozen"/>
      <selection pane="topRight" activeCell="B39" sqref="B39"/>
    </sheetView>
  </sheetViews>
  <sheetFormatPr baseColWidth="10" defaultColWidth="9.28515625" defaultRowHeight="15" x14ac:dyDescent="0.3"/>
  <cols>
    <col min="1" max="1" width="93.28515625" style="8" bestFit="1" customWidth="1"/>
    <col min="2" max="2" width="15.140625" style="8" customWidth="1"/>
    <col min="3" max="3" width="22" style="8" customWidth="1"/>
    <col min="4" max="4" width="50.7109375" style="8" bestFit="1" customWidth="1"/>
    <col min="5" max="5" width="68.28515625" style="8" bestFit="1" customWidth="1"/>
    <col min="6" max="6" width="36.85546875" style="8" bestFit="1" customWidth="1"/>
    <col min="7" max="7" width="17.7109375" style="8" bestFit="1" customWidth="1"/>
    <col min="8" max="69" width="7.7109375" style="8" bestFit="1" customWidth="1"/>
    <col min="70" max="16384" width="9.28515625" style="8"/>
  </cols>
  <sheetData>
    <row r="1" spans="1:69" x14ac:dyDescent="0.3">
      <c r="A1" s="55" t="s">
        <v>763</v>
      </c>
      <c r="B1" s="55"/>
      <c r="C1" s="55"/>
      <c r="D1" s="55"/>
      <c r="E1" s="55"/>
      <c r="F1" s="55"/>
      <c r="G1" s="55"/>
      <c r="H1" s="55"/>
      <c r="I1" s="55"/>
      <c r="J1" s="55"/>
      <c r="K1" s="55"/>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3">
      <c r="A2" s="24" t="s">
        <v>716</v>
      </c>
      <c r="B2" s="34"/>
      <c r="C2" s="53" t="s">
        <v>760</v>
      </c>
      <c r="D2" s="53"/>
      <c r="E2" s="53"/>
      <c r="F2" s="53"/>
      <c r="G2" s="34" t="s">
        <v>761</v>
      </c>
      <c r="H2" s="53" t="s">
        <v>762</v>
      </c>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row>
    <row r="3" spans="1:69" x14ac:dyDescent="0.3">
      <c r="A3" s="21" t="s">
        <v>719</v>
      </c>
      <c r="B3" s="8" t="s">
        <v>717</v>
      </c>
      <c r="C3" s="8" t="s">
        <v>233</v>
      </c>
      <c r="D3" s="8" t="s">
        <v>527</v>
      </c>
      <c r="E3" s="8" t="s">
        <v>528</v>
      </c>
      <c r="F3" s="8" t="s">
        <v>529</v>
      </c>
      <c r="G3" s="8" t="s">
        <v>530</v>
      </c>
      <c r="H3" s="8" t="s">
        <v>160</v>
      </c>
      <c r="I3" s="8" t="s">
        <v>161</v>
      </c>
      <c r="J3" s="8" t="s">
        <v>162</v>
      </c>
      <c r="K3" s="8" t="s">
        <v>163</v>
      </c>
      <c r="L3" s="8" t="s">
        <v>164</v>
      </c>
      <c r="M3" s="8" t="s">
        <v>165</v>
      </c>
      <c r="N3" s="8" t="s">
        <v>166</v>
      </c>
      <c r="O3" s="8" t="s">
        <v>167</v>
      </c>
      <c r="P3" s="8" t="s">
        <v>168</v>
      </c>
      <c r="Q3" s="8" t="s">
        <v>169</v>
      </c>
      <c r="R3" s="8" t="s">
        <v>170</v>
      </c>
      <c r="S3" s="8" t="s">
        <v>171</v>
      </c>
      <c r="T3" s="8" t="s">
        <v>172</v>
      </c>
      <c r="U3" s="8" t="s">
        <v>173</v>
      </c>
      <c r="V3" s="8" t="s">
        <v>174</v>
      </c>
      <c r="W3" s="8" t="s">
        <v>175</v>
      </c>
      <c r="X3" s="8" t="s">
        <v>176</v>
      </c>
      <c r="Y3" s="8" t="s">
        <v>177</v>
      </c>
      <c r="Z3" s="8" t="s">
        <v>178</v>
      </c>
      <c r="AA3" s="8" t="s">
        <v>179</v>
      </c>
      <c r="AB3" s="8" t="s">
        <v>180</v>
      </c>
      <c r="AC3" s="8" t="s">
        <v>181</v>
      </c>
      <c r="AD3" s="8" t="s">
        <v>182</v>
      </c>
      <c r="AE3" s="8" t="s">
        <v>183</v>
      </c>
      <c r="AF3" s="8" t="s">
        <v>184</v>
      </c>
      <c r="AG3" s="8" t="s">
        <v>185</v>
      </c>
      <c r="AH3" s="8" t="s">
        <v>186</v>
      </c>
      <c r="AI3" s="8" t="s">
        <v>187</v>
      </c>
      <c r="AJ3" s="8" t="s">
        <v>188</v>
      </c>
      <c r="AK3" s="8" t="s">
        <v>189</v>
      </c>
      <c r="AL3" s="8" t="s">
        <v>190</v>
      </c>
      <c r="AM3" s="8" t="s">
        <v>191</v>
      </c>
      <c r="AN3" s="8" t="s">
        <v>192</v>
      </c>
      <c r="AO3" s="8" t="s">
        <v>193</v>
      </c>
      <c r="AP3" s="8" t="s">
        <v>194</v>
      </c>
      <c r="AQ3" s="8" t="s">
        <v>195</v>
      </c>
      <c r="AR3" s="8" t="s">
        <v>196</v>
      </c>
      <c r="AS3" s="8" t="s">
        <v>197</v>
      </c>
      <c r="AT3" s="8" t="s">
        <v>198</v>
      </c>
      <c r="AU3" s="8" t="s">
        <v>199</v>
      </c>
      <c r="AV3" s="8" t="s">
        <v>200</v>
      </c>
      <c r="AW3" s="8" t="s">
        <v>201</v>
      </c>
      <c r="AX3" s="8" t="s">
        <v>202</v>
      </c>
      <c r="AY3" s="8" t="s">
        <v>203</v>
      </c>
      <c r="AZ3" s="8" t="s">
        <v>204</v>
      </c>
      <c r="BA3" s="8" t="s">
        <v>205</v>
      </c>
      <c r="BB3" s="8" t="s">
        <v>206</v>
      </c>
      <c r="BC3" s="8" t="s">
        <v>207</v>
      </c>
      <c r="BD3" s="8" t="s">
        <v>208</v>
      </c>
      <c r="BE3" s="8" t="s">
        <v>209</v>
      </c>
      <c r="BF3" s="8" t="s">
        <v>210</v>
      </c>
      <c r="BG3" s="8" t="s">
        <v>211</v>
      </c>
      <c r="BH3" s="8" t="s">
        <v>212</v>
      </c>
      <c r="BI3" s="8" t="s">
        <v>213</v>
      </c>
      <c r="BJ3" s="8" t="s">
        <v>214</v>
      </c>
      <c r="BK3" s="8" t="s">
        <v>215</v>
      </c>
      <c r="BL3" s="8" t="s">
        <v>216</v>
      </c>
      <c r="BM3" s="8" t="s">
        <v>217</v>
      </c>
      <c r="BN3" s="8" t="s">
        <v>218</v>
      </c>
      <c r="BO3" s="8" t="s">
        <v>219</v>
      </c>
      <c r="BP3" s="8" t="s">
        <v>220</v>
      </c>
      <c r="BQ3" s="8" t="s">
        <v>221</v>
      </c>
    </row>
    <row r="4" spans="1:69" x14ac:dyDescent="0.3">
      <c r="A4" s="9" t="s">
        <v>0</v>
      </c>
      <c r="B4" s="11" t="str">
        <f>VLOOKUP(GHS_Table[[#This Row],[Marker name]],BaseInfos_Table[],3,FALSE)</f>
        <v>1533-45-5</v>
      </c>
      <c r="C4" s="11" t="s">
        <v>248</v>
      </c>
      <c r="D4" s="8">
        <v>1</v>
      </c>
      <c r="E4" s="8">
        <v>6</v>
      </c>
      <c r="F4" s="8">
        <v>3</v>
      </c>
      <c r="G4" s="8" t="s">
        <v>664</v>
      </c>
      <c r="BO4" s="8" t="s">
        <v>222</v>
      </c>
    </row>
    <row r="5" spans="1:69" x14ac:dyDescent="0.3">
      <c r="A5" s="9" t="s">
        <v>1</v>
      </c>
      <c r="B5" s="11" t="str">
        <f>VLOOKUP(GHS_Table[[#This Row],[Marker name]],BaseInfos_Table[],3,FALSE)</f>
        <v>7128-64-5</v>
      </c>
      <c r="C5" s="10" t="s">
        <v>248</v>
      </c>
      <c r="D5" s="8">
        <v>0</v>
      </c>
      <c r="E5" s="8">
        <v>3</v>
      </c>
      <c r="F5" s="8">
        <v>0</v>
      </c>
      <c r="G5" s="8" t="s">
        <v>664</v>
      </c>
    </row>
    <row r="6" spans="1:69" x14ac:dyDescent="0.3">
      <c r="A6" s="9" t="s">
        <v>686</v>
      </c>
      <c r="B6" s="11" t="str">
        <f>VLOOKUP(GHS_Table[[#This Row],[Marker name]],BaseInfos_Table[],3,FALSE)</f>
        <v>1306-38-3</v>
      </c>
      <c r="C6" s="10" t="s">
        <v>248</v>
      </c>
      <c r="D6" s="8">
        <v>0</v>
      </c>
      <c r="E6" s="8">
        <v>9</v>
      </c>
      <c r="F6" s="8">
        <v>0</v>
      </c>
      <c r="G6" s="8" t="s">
        <v>664</v>
      </c>
    </row>
    <row r="7" spans="1:69" x14ac:dyDescent="0.3">
      <c r="A7" s="9" t="s">
        <v>687</v>
      </c>
      <c r="B7" s="11" t="str">
        <f>VLOOKUP(GHS_Table[[#This Row],[Marker name]],BaseInfos_Table[],3,FALSE)</f>
        <v>1314-36-9</v>
      </c>
      <c r="C7" s="10" t="s">
        <v>248</v>
      </c>
      <c r="D7" s="8">
        <v>0</v>
      </c>
      <c r="E7" s="8">
        <v>4</v>
      </c>
      <c r="F7" s="8">
        <v>0</v>
      </c>
      <c r="G7" s="8" t="s">
        <v>664</v>
      </c>
    </row>
    <row r="8" spans="1:69" x14ac:dyDescent="0.3">
      <c r="A8" s="9" t="s">
        <v>688</v>
      </c>
      <c r="B8" s="11" t="str">
        <f>VLOOKUP(GHS_Table[[#This Row],[Marker name]],BaseInfos_Table[],3,FALSE)</f>
        <v>1313-97-9</v>
      </c>
      <c r="C8" s="10" t="s">
        <v>248</v>
      </c>
      <c r="D8" s="8">
        <v>0</v>
      </c>
      <c r="E8" s="8">
        <v>5</v>
      </c>
      <c r="F8" s="8">
        <v>0</v>
      </c>
      <c r="G8" s="8" t="s">
        <v>664</v>
      </c>
    </row>
    <row r="9" spans="1:69" x14ac:dyDescent="0.3">
      <c r="A9" s="9" t="s">
        <v>689</v>
      </c>
      <c r="B9" s="11" t="str">
        <f>VLOOKUP(GHS_Table[[#This Row],[Marker name]],BaseInfos_Table[],3,FALSE)</f>
        <v>12064-62-9</v>
      </c>
      <c r="C9" s="10" t="s">
        <v>248</v>
      </c>
      <c r="D9" s="8">
        <v>0</v>
      </c>
      <c r="E9" s="8">
        <v>5</v>
      </c>
      <c r="F9" s="8">
        <v>0</v>
      </c>
      <c r="G9" s="8" t="s">
        <v>665</v>
      </c>
    </row>
    <row r="10" spans="1:69" x14ac:dyDescent="0.3">
      <c r="A10" s="9" t="s">
        <v>690</v>
      </c>
      <c r="B10" s="11" t="str">
        <f>VLOOKUP(GHS_Table[[#This Row],[Marker name]],BaseInfos_Table[],3,FALSE)</f>
        <v>1308-87-8</v>
      </c>
      <c r="C10" s="10" t="s">
        <v>248</v>
      </c>
      <c r="D10" s="8">
        <v>0</v>
      </c>
      <c r="E10" s="8">
        <v>3</v>
      </c>
      <c r="F10" s="8">
        <v>0</v>
      </c>
      <c r="G10" s="8" t="s">
        <v>664</v>
      </c>
    </row>
    <row r="11" spans="1:69" x14ac:dyDescent="0.3">
      <c r="A11" s="9" t="s">
        <v>11</v>
      </c>
      <c r="B11" s="11" t="str">
        <f>VLOOKUP(GHS_Table[[#This Row],[Marker name]],BaseInfos_Table[],3,FALSE)</f>
        <v>989-38-8</v>
      </c>
      <c r="C11" s="10" t="s">
        <v>248</v>
      </c>
      <c r="D11" s="8">
        <v>5</v>
      </c>
      <c r="E11" s="8">
        <v>5</v>
      </c>
      <c r="F11" s="8">
        <v>5</v>
      </c>
      <c r="G11" s="8" t="s">
        <v>664</v>
      </c>
      <c r="AK11" s="8" t="s">
        <v>222</v>
      </c>
      <c r="AS11" s="8" t="s">
        <v>222</v>
      </c>
      <c r="AT11" s="8" t="s">
        <v>222</v>
      </c>
      <c r="BM11" s="8" t="s">
        <v>222</v>
      </c>
      <c r="BN11" s="8" t="s">
        <v>222</v>
      </c>
    </row>
    <row r="12" spans="1:69" x14ac:dyDescent="0.3">
      <c r="A12" s="9" t="s">
        <v>12</v>
      </c>
      <c r="B12" s="11" t="str">
        <f>VLOOKUP(GHS_Table[[#This Row],[Marker name]],BaseInfos_Table[],3,FALSE)</f>
        <v>n.a.</v>
      </c>
      <c r="C12" s="8" t="s">
        <v>55</v>
      </c>
      <c r="D12" s="8" t="s">
        <v>55</v>
      </c>
      <c r="E12" s="8" t="s">
        <v>55</v>
      </c>
      <c r="F12" s="8" t="s">
        <v>55</v>
      </c>
      <c r="G12" s="8" t="s">
        <v>55</v>
      </c>
    </row>
    <row r="13" spans="1:69" x14ac:dyDescent="0.3">
      <c r="A13" s="9" t="s">
        <v>19</v>
      </c>
      <c r="B13" s="11" t="str">
        <f>VLOOKUP(GHS_Table[[#This Row],[Marker name]],BaseInfos_Table[],3,FALSE)</f>
        <v>n.a.</v>
      </c>
      <c r="C13" s="8" t="s">
        <v>55</v>
      </c>
      <c r="D13" s="8" t="s">
        <v>55</v>
      </c>
      <c r="E13" s="8" t="s">
        <v>55</v>
      </c>
      <c r="F13" s="8" t="s">
        <v>55</v>
      </c>
      <c r="G13" s="8" t="s">
        <v>55</v>
      </c>
    </row>
    <row r="14" spans="1:69" x14ac:dyDescent="0.3">
      <c r="A14" s="9" t="s">
        <v>21</v>
      </c>
      <c r="B14" s="11" t="str">
        <f>VLOOKUP(GHS_Table[[#This Row],[Marker name]],BaseInfos_Table[],3,FALSE)</f>
        <v>n.a.</v>
      </c>
      <c r="C14" s="8" t="s">
        <v>55</v>
      </c>
      <c r="D14" s="8" t="s">
        <v>55</v>
      </c>
      <c r="E14" s="8" t="s">
        <v>55</v>
      </c>
      <c r="F14" s="8" t="s">
        <v>55</v>
      </c>
      <c r="G14" s="8" t="s">
        <v>55</v>
      </c>
    </row>
    <row r="15" spans="1:69" x14ac:dyDescent="0.3">
      <c r="A15" s="9" t="s">
        <v>20</v>
      </c>
      <c r="B15" s="11" t="str">
        <f>VLOOKUP(GHS_Table[[#This Row],[Marker name]],BaseInfos_Table[],3,FALSE)</f>
        <v>n.a.</v>
      </c>
      <c r="C15" s="8" t="s">
        <v>55</v>
      </c>
      <c r="D15" s="8" t="s">
        <v>55</v>
      </c>
      <c r="E15" s="8" t="s">
        <v>55</v>
      </c>
      <c r="F15" s="8" t="s">
        <v>55</v>
      </c>
      <c r="G15" s="8" t="s">
        <v>55</v>
      </c>
    </row>
    <row r="16" spans="1:69" x14ac:dyDescent="0.3">
      <c r="A16" s="9" t="s">
        <v>49</v>
      </c>
      <c r="B16" s="11" t="str">
        <f>VLOOKUP(GHS_Table[[#This Row],[Marker name]],BaseInfos_Table[],3,FALSE)</f>
        <v>n.a.</v>
      </c>
      <c r="C16" s="8" t="s">
        <v>55</v>
      </c>
      <c r="D16" s="8" t="s">
        <v>55</v>
      </c>
      <c r="E16" s="8" t="s">
        <v>55</v>
      </c>
      <c r="F16" s="8" t="s">
        <v>55</v>
      </c>
      <c r="G16" s="8" t="s">
        <v>55</v>
      </c>
    </row>
    <row r="17" spans="1:7" x14ac:dyDescent="0.3">
      <c r="A17" s="8" t="s">
        <v>56</v>
      </c>
      <c r="B17" s="11" t="str">
        <f>VLOOKUP(GHS_Table[[#This Row],[Marker name]],BaseInfos_Table[],3,FALSE)</f>
        <v>1047-16-1</v>
      </c>
      <c r="C17" s="13" t="s">
        <v>248</v>
      </c>
      <c r="D17" s="8">
        <v>0</v>
      </c>
      <c r="E17" s="8">
        <v>3</v>
      </c>
      <c r="F17" s="8" t="s">
        <v>55</v>
      </c>
      <c r="G17" s="8" t="s">
        <v>55</v>
      </c>
    </row>
    <row r="18" spans="1:7" x14ac:dyDescent="0.3">
      <c r="A18" s="8" t="s">
        <v>54</v>
      </c>
      <c r="B18" s="11" t="str">
        <f>VLOOKUP(GHS_Table[[#This Row],[Marker name]],BaseInfos_Table[],3,FALSE)</f>
        <v>128-69-8</v>
      </c>
      <c r="C18" s="13" t="s">
        <v>248</v>
      </c>
      <c r="D18" s="8">
        <v>0</v>
      </c>
      <c r="E18" s="8">
        <v>3</v>
      </c>
      <c r="F18" s="8">
        <v>0</v>
      </c>
      <c r="G18" s="8" t="s">
        <v>664</v>
      </c>
    </row>
    <row r="19" spans="1:7" x14ac:dyDescent="0.3">
      <c r="A19" s="8" t="s">
        <v>373</v>
      </c>
      <c r="B19" s="11" t="str">
        <f>VLOOKUP(GHS_Table[[#This Row],[Marker name]],BaseInfos_Table[],3,FALSE)</f>
        <v xml:space="preserve">3326-32-7 </v>
      </c>
      <c r="C19" s="8" t="s">
        <v>243</v>
      </c>
      <c r="D19" s="8" t="s">
        <v>55</v>
      </c>
      <c r="E19" s="8">
        <v>7</v>
      </c>
      <c r="F19" s="8">
        <v>2</v>
      </c>
      <c r="G19" s="8" t="s">
        <v>664</v>
      </c>
    </row>
    <row r="20" spans="1:7" x14ac:dyDescent="0.3">
      <c r="A20" s="8" t="s">
        <v>234</v>
      </c>
      <c r="B20" s="11" t="str">
        <f>VLOOKUP(GHS_Table[[#This Row],[Marker name]],BaseInfos_Table[],3,FALSE)</f>
        <v>3599-32-4</v>
      </c>
      <c r="C20" s="8" t="s">
        <v>243</v>
      </c>
      <c r="D20" s="8" t="s">
        <v>55</v>
      </c>
      <c r="E20" s="8">
        <v>3</v>
      </c>
      <c r="F20" s="8">
        <v>3</v>
      </c>
      <c r="G20" s="8" t="s">
        <v>664</v>
      </c>
    </row>
    <row r="21" spans="1:7" x14ac:dyDescent="0.3">
      <c r="A21" s="8" t="s">
        <v>235</v>
      </c>
      <c r="B21" s="11" t="str">
        <f>VLOOKUP(GHS_Table[[#This Row],[Marker name]],BaseInfos_Table[],3,FALSE)</f>
        <v>61-73-4</v>
      </c>
      <c r="C21" s="8" t="s">
        <v>243</v>
      </c>
      <c r="D21" s="8" t="s">
        <v>55</v>
      </c>
      <c r="E21" s="8">
        <v>8</v>
      </c>
      <c r="F21" s="8">
        <v>1</v>
      </c>
      <c r="G21" s="8" t="s">
        <v>664</v>
      </c>
    </row>
    <row r="22" spans="1:7" x14ac:dyDescent="0.3">
      <c r="A22" s="14" t="s">
        <v>250</v>
      </c>
      <c r="B22" s="11" t="str">
        <f>VLOOKUP(GHS_Table[[#This Row],[Marker name]],BaseInfos_Table[],3,FALSE)</f>
        <v>308068-56-6</v>
      </c>
      <c r="C22" s="8" t="s">
        <v>248</v>
      </c>
      <c r="D22" s="8">
        <v>1</v>
      </c>
      <c r="E22" s="8">
        <v>6</v>
      </c>
      <c r="F22" s="8">
        <v>0</v>
      </c>
      <c r="G22" s="8" t="s">
        <v>664</v>
      </c>
    </row>
    <row r="23" spans="1:7" x14ac:dyDescent="0.3">
      <c r="A23" s="8" t="s">
        <v>260</v>
      </c>
      <c r="B23" s="11" t="str">
        <f>VLOOKUP(GHS_Table[[#This Row],[Marker name]],BaseInfos_Table[],3,FALSE)</f>
        <v>199444-11-6</v>
      </c>
      <c r="C23" s="8" t="s">
        <v>243</v>
      </c>
      <c r="D23" s="8" t="s">
        <v>55</v>
      </c>
      <c r="E23" s="8">
        <v>2</v>
      </c>
      <c r="F23" s="8">
        <v>0</v>
      </c>
      <c r="G23" s="8" t="s">
        <v>664</v>
      </c>
    </row>
    <row r="24" spans="1:7" x14ac:dyDescent="0.3">
      <c r="A24" s="14" t="s">
        <v>264</v>
      </c>
      <c r="B24" s="11" t="str">
        <f>VLOOKUP(GHS_Table[[#This Row],[Marker name]],BaseInfos_Table[],3,FALSE)</f>
        <v>207399-07-3</v>
      </c>
      <c r="C24" s="8" t="s">
        <v>243</v>
      </c>
      <c r="D24" s="8" t="s">
        <v>55</v>
      </c>
      <c r="E24" s="8">
        <v>3</v>
      </c>
      <c r="F24" s="8">
        <v>0</v>
      </c>
      <c r="G24" s="8" t="s">
        <v>664</v>
      </c>
    </row>
    <row r="25" spans="1:7" x14ac:dyDescent="0.3">
      <c r="A25" s="14" t="s">
        <v>267</v>
      </c>
      <c r="B25" s="11" t="str">
        <f>VLOOKUP(GHS_Table[[#This Row],[Marker name]],BaseInfos_Table[],3,FALSE)</f>
        <v>115970-66-6</v>
      </c>
      <c r="C25" s="8" t="s">
        <v>243</v>
      </c>
      <c r="D25" s="8" t="s">
        <v>55</v>
      </c>
      <c r="E25" s="8">
        <v>3</v>
      </c>
      <c r="F25" s="8">
        <v>0</v>
      </c>
      <c r="G25" s="8" t="s">
        <v>664</v>
      </c>
    </row>
    <row r="26" spans="1:7" x14ac:dyDescent="0.3">
      <c r="A26" s="14" t="s">
        <v>269</v>
      </c>
      <c r="B26" s="11" t="str">
        <f>VLOOKUP(GHS_Table[[#This Row],[Marker name]],BaseInfos_Table[],3,FALSE)</f>
        <v>110992-55-7</v>
      </c>
      <c r="C26" s="8" t="s">
        <v>243</v>
      </c>
      <c r="D26" s="8" t="s">
        <v>55</v>
      </c>
      <c r="E26" s="8">
        <v>0</v>
      </c>
      <c r="F26" s="8">
        <v>0</v>
      </c>
      <c r="G26" s="8" t="s">
        <v>664</v>
      </c>
    </row>
    <row r="27" spans="1:7" x14ac:dyDescent="0.3">
      <c r="A27" s="14" t="s">
        <v>272</v>
      </c>
      <c r="B27" s="11" t="str">
        <f>VLOOKUP(GHS_Table[[#This Row],[Marker name]],BaseInfos_Table[],3,FALSE)</f>
        <v>757960-10-4</v>
      </c>
      <c r="C27" s="8" t="s">
        <v>55</v>
      </c>
      <c r="D27" s="8" t="s">
        <v>55</v>
      </c>
      <c r="E27" s="8" t="s">
        <v>55</v>
      </c>
      <c r="F27" s="8" t="s">
        <v>55</v>
      </c>
      <c r="G27" s="8" t="s">
        <v>55</v>
      </c>
    </row>
    <row r="28" spans="1:7" x14ac:dyDescent="0.3">
      <c r="A28" s="14" t="s">
        <v>280</v>
      </c>
      <c r="B28" s="11" t="str">
        <f>VLOOKUP(GHS_Table[[#This Row],[Marker name]],BaseInfos_Table[],3,FALSE)</f>
        <v>1306-25-8</v>
      </c>
      <c r="C28" s="8" t="s">
        <v>248</v>
      </c>
      <c r="D28" s="8">
        <v>1</v>
      </c>
      <c r="E28" s="8">
        <v>8</v>
      </c>
      <c r="F28" s="8">
        <v>6</v>
      </c>
      <c r="G28" s="8" t="s">
        <v>664</v>
      </c>
    </row>
    <row r="29" spans="1:7" x14ac:dyDescent="0.3">
      <c r="A29" s="14" t="s">
        <v>281</v>
      </c>
      <c r="B29" s="11" t="str">
        <f>VLOOKUP(GHS_Table[[#This Row],[Marker name]],BaseInfos_Table[],3,FALSE)</f>
        <v>1314-87-0</v>
      </c>
      <c r="C29" s="8" t="s">
        <v>248</v>
      </c>
      <c r="D29" s="8">
        <v>5</v>
      </c>
      <c r="E29" s="8">
        <v>9</v>
      </c>
      <c r="F29" s="8">
        <v>6</v>
      </c>
      <c r="G29" s="8" t="s">
        <v>664</v>
      </c>
    </row>
    <row r="30" spans="1:7" x14ac:dyDescent="0.3">
      <c r="A30" s="8" t="s">
        <v>691</v>
      </c>
      <c r="B30" s="11" t="str">
        <f>VLOOKUP(GHS_Table[[#This Row],[Marker name]],BaseInfos_Table[],3,FALSE)</f>
        <v>1312-81-8</v>
      </c>
      <c r="C30" s="8" t="s">
        <v>248</v>
      </c>
      <c r="D30" s="8">
        <v>0</v>
      </c>
      <c r="E30" s="8">
        <v>3</v>
      </c>
      <c r="F30" s="8">
        <v>0</v>
      </c>
      <c r="G30" s="8" t="s">
        <v>664</v>
      </c>
    </row>
    <row r="31" spans="1:7" x14ac:dyDescent="0.3">
      <c r="A31" s="8" t="s">
        <v>692</v>
      </c>
      <c r="B31" s="11" t="str">
        <f>VLOOKUP(GHS_Table[[#This Row],[Marker name]],BaseInfos_Table[],3,FALSE)</f>
        <v>12037-29-5</v>
      </c>
      <c r="C31" s="8" t="s">
        <v>248</v>
      </c>
      <c r="D31" s="8">
        <v>0</v>
      </c>
      <c r="E31" s="8">
        <v>4</v>
      </c>
      <c r="F31" s="8">
        <v>0</v>
      </c>
      <c r="G31" s="8" t="s">
        <v>664</v>
      </c>
    </row>
    <row r="32" spans="1:7" x14ac:dyDescent="0.3">
      <c r="A32" s="8" t="s">
        <v>693</v>
      </c>
      <c r="B32" s="11" t="str">
        <f>VLOOKUP(GHS_Table[[#This Row],[Marker name]],BaseInfos_Table[],3,FALSE)</f>
        <v>12061-16-4</v>
      </c>
      <c r="C32" s="8" t="s">
        <v>248</v>
      </c>
      <c r="D32" s="8">
        <v>2</v>
      </c>
      <c r="E32" s="8">
        <v>6</v>
      </c>
      <c r="F32" s="8">
        <v>0</v>
      </c>
      <c r="G32" s="8" t="s">
        <v>664</v>
      </c>
    </row>
    <row r="33" spans="1:7" x14ac:dyDescent="0.3">
      <c r="A33" s="8" t="s">
        <v>694</v>
      </c>
      <c r="B33" s="11" t="str">
        <f>VLOOKUP(GHS_Table[[#This Row],[Marker name]],BaseInfos_Table[],3,FALSE)</f>
        <v>1314-37-0</v>
      </c>
      <c r="C33" s="8" t="s">
        <v>248</v>
      </c>
      <c r="D33" s="8">
        <v>0</v>
      </c>
      <c r="E33" s="8">
        <v>4</v>
      </c>
      <c r="F33" s="8">
        <v>0</v>
      </c>
      <c r="G33" s="8" t="s">
        <v>664</v>
      </c>
    </row>
    <row r="34" spans="1:7" x14ac:dyDescent="0.3">
      <c r="A34" s="14" t="s">
        <v>695</v>
      </c>
      <c r="B34" s="11" t="str">
        <f>VLOOKUP(GHS_Table[[#This Row],[Marker name]],BaseInfos_Table[],3,FALSE)</f>
        <v>68585-82-0</v>
      </c>
      <c r="C34" s="8" t="s">
        <v>248</v>
      </c>
      <c r="D34" s="8">
        <v>1</v>
      </c>
      <c r="E34" s="8">
        <v>1</v>
      </c>
      <c r="F34" s="8">
        <v>0</v>
      </c>
      <c r="G34" s="8" t="s">
        <v>664</v>
      </c>
    </row>
    <row r="35" spans="1:7" x14ac:dyDescent="0.3">
      <c r="A35" s="14" t="s">
        <v>696</v>
      </c>
      <c r="B35" s="11" t="str">
        <f>VLOOKUP(GHS_Table[[#This Row],[Marker name]],BaseInfos_Table[],3,FALSE)</f>
        <v>63774-55-0</v>
      </c>
      <c r="C35" s="8" t="s">
        <v>243</v>
      </c>
      <c r="D35" s="8" t="s">
        <v>55</v>
      </c>
      <c r="E35" s="8">
        <v>0</v>
      </c>
      <c r="F35" s="8">
        <v>0</v>
      </c>
      <c r="G35" s="8" t="s">
        <v>665</v>
      </c>
    </row>
    <row r="36" spans="1:7" x14ac:dyDescent="0.3">
      <c r="A36" s="8" t="s">
        <v>398</v>
      </c>
      <c r="B36" s="11" t="str">
        <f>VLOOKUP(GHS_Table[[#This Row],[Marker name]],BaseInfos_Table[],3,FALSE)</f>
        <v>1309-48-4</v>
      </c>
      <c r="C36" s="8" t="s">
        <v>243</v>
      </c>
      <c r="D36" s="8" t="s">
        <v>55</v>
      </c>
      <c r="E36" s="8">
        <v>19</v>
      </c>
      <c r="F36" s="8">
        <v>0</v>
      </c>
      <c r="G36" s="8" t="s">
        <v>664</v>
      </c>
    </row>
    <row r="37" spans="1:7" x14ac:dyDescent="0.3">
      <c r="A37" s="15" t="s">
        <v>697</v>
      </c>
      <c r="B37" s="11" t="str">
        <f>VLOOKUP(GHS_Table[[#This Row],[Marker name]],BaseInfos_Table[],3,FALSE)</f>
        <v>12060-58-1</v>
      </c>
      <c r="C37" s="8" t="s">
        <v>248</v>
      </c>
      <c r="D37" s="8">
        <v>0</v>
      </c>
      <c r="E37" s="8">
        <v>2</v>
      </c>
      <c r="F37" s="8">
        <v>0</v>
      </c>
      <c r="G37" s="8" t="s">
        <v>664</v>
      </c>
    </row>
    <row r="38" spans="1:7" ht="16.5" x14ac:dyDescent="0.3">
      <c r="A38" s="15" t="s">
        <v>698</v>
      </c>
      <c r="B38" s="11" t="str">
        <f>VLOOKUP(GHS_Table[[#This Row],[Marker name]],BaseInfos_Table[],3,FALSE)</f>
        <v>68585-83-1</v>
      </c>
      <c r="C38" s="8" t="s">
        <v>55</v>
      </c>
      <c r="D38" s="8" t="s">
        <v>55</v>
      </c>
      <c r="E38" s="8" t="s">
        <v>55</v>
      </c>
      <c r="F38" s="8" t="s">
        <v>55</v>
      </c>
      <c r="G38" s="8" t="s">
        <v>55</v>
      </c>
    </row>
    <row r="39" spans="1:7" x14ac:dyDescent="0.3">
      <c r="A39" s="15" t="s">
        <v>699</v>
      </c>
      <c r="B39" s="11" t="str">
        <f>VLOOKUP(GHS_Table[[#This Row],[Marker name]],BaseInfos_Table[],3,FALSE)</f>
        <v>68609-38-1</v>
      </c>
      <c r="C39" s="8" t="s">
        <v>55</v>
      </c>
      <c r="D39" s="8" t="s">
        <v>55</v>
      </c>
      <c r="E39" s="8" t="s">
        <v>55</v>
      </c>
      <c r="F39" s="8" t="s">
        <v>55</v>
      </c>
      <c r="G39" s="8" t="s">
        <v>55</v>
      </c>
    </row>
    <row r="40" spans="1:7" ht="16.5" x14ac:dyDescent="0.3">
      <c r="A40" s="15" t="s">
        <v>700</v>
      </c>
      <c r="B40" s="11" t="str">
        <f>VLOOKUP(GHS_Table[[#This Row],[Marker name]],BaseInfos_Table[],3,FALSE)</f>
        <v>n.a.</v>
      </c>
      <c r="C40" s="11" t="str">
        <f>VLOOKUP(GHS_Table[[#This Row],[Marker name]],BaseInfos_Table[],3,FALSE)</f>
        <v>n.a.</v>
      </c>
      <c r="D40" s="11" t="str">
        <f>VLOOKUP(GHS_Table[[#This Row],[Marker name]],BaseInfos_Table[],3,FALSE)</f>
        <v>n.a.</v>
      </c>
      <c r="E40" s="11" t="str">
        <f>VLOOKUP(GHS_Table[[#This Row],[Marker name]],BaseInfos_Table[],3,FALSE)</f>
        <v>n.a.</v>
      </c>
      <c r="F40" s="11" t="str">
        <f>VLOOKUP(GHS_Table[[#This Row],[Marker name]],BaseInfos_Table[],3,FALSE)</f>
        <v>n.a.</v>
      </c>
      <c r="G40" s="11" t="str">
        <f>VLOOKUP(GHS_Table[[#This Row],[Marker name]],BaseInfos_Table[],3,FALSE)</f>
        <v>n.a.</v>
      </c>
    </row>
    <row r="41" spans="1:7" ht="16.5" x14ac:dyDescent="0.3">
      <c r="A41" s="15" t="s">
        <v>701</v>
      </c>
      <c r="B41" s="11" t="str">
        <f>VLOOKUP(GHS_Table[[#This Row],[Marker name]],BaseInfos_Table[],3,FALSE)</f>
        <v>n.a.</v>
      </c>
      <c r="C41" s="11" t="str">
        <f>VLOOKUP(GHS_Table[[#This Row],[Marker name]],BaseInfos_Table[],3,FALSE)</f>
        <v>n.a.</v>
      </c>
      <c r="D41" s="11" t="str">
        <f>VLOOKUP(GHS_Table[[#This Row],[Marker name]],BaseInfos_Table[],3,FALSE)</f>
        <v>n.a.</v>
      </c>
      <c r="E41" s="11" t="str">
        <f>VLOOKUP(GHS_Table[[#This Row],[Marker name]],BaseInfos_Table[],3,FALSE)</f>
        <v>n.a.</v>
      </c>
      <c r="F41" s="11" t="str">
        <f>VLOOKUP(GHS_Table[[#This Row],[Marker name]],BaseInfos_Table[],3,FALSE)</f>
        <v>n.a.</v>
      </c>
      <c r="G41" s="11" t="str">
        <f>VLOOKUP(GHS_Table[[#This Row],[Marker name]],BaseInfos_Table[],3,FALSE)</f>
        <v>n.a.</v>
      </c>
    </row>
    <row r="42" spans="1:7" ht="16.5" x14ac:dyDescent="0.3">
      <c r="A42" s="15" t="s">
        <v>702</v>
      </c>
      <c r="B42" s="11" t="str">
        <f>VLOOKUP(GHS_Table[[#This Row],[Marker name]],BaseInfos_Table[],3,FALSE)</f>
        <v>n.a.</v>
      </c>
      <c r="C42" s="11" t="str">
        <f>VLOOKUP(GHS_Table[[#This Row],[Marker name]],BaseInfos_Table[],3,FALSE)</f>
        <v>n.a.</v>
      </c>
      <c r="D42" s="11" t="str">
        <f>VLOOKUP(GHS_Table[[#This Row],[Marker name]],BaseInfos_Table[],3,FALSE)</f>
        <v>n.a.</v>
      </c>
      <c r="E42" s="11" t="str">
        <f>VLOOKUP(GHS_Table[[#This Row],[Marker name]],BaseInfos_Table[],3,FALSE)</f>
        <v>n.a.</v>
      </c>
      <c r="F42" s="11" t="str">
        <f>VLOOKUP(GHS_Table[[#This Row],[Marker name]],BaseInfos_Table[],3,FALSE)</f>
        <v>n.a.</v>
      </c>
      <c r="G42" s="11" t="str">
        <f>VLOOKUP(GHS_Table[[#This Row],[Marker name]],BaseInfos_Table[],3,FALSE)</f>
        <v>n.a.</v>
      </c>
    </row>
    <row r="43" spans="1:7" x14ac:dyDescent="0.3">
      <c r="A43" s="15" t="s">
        <v>703</v>
      </c>
      <c r="B43" s="11" t="str">
        <f>VLOOKUP(GHS_Table[[#This Row],[Marker name]],BaseInfos_Table[],3,FALSE)</f>
        <v>12024-21-4</v>
      </c>
      <c r="C43" s="8" t="s">
        <v>243</v>
      </c>
      <c r="D43" s="8" t="s">
        <v>55</v>
      </c>
      <c r="E43" s="8">
        <v>4</v>
      </c>
      <c r="F43" s="8">
        <v>0</v>
      </c>
      <c r="G43" s="8" t="s">
        <v>664</v>
      </c>
    </row>
    <row r="44" spans="1:7" ht="16.5" x14ac:dyDescent="0.3">
      <c r="A44" s="15" t="s">
        <v>704</v>
      </c>
      <c r="B44" s="11" t="str">
        <f>VLOOKUP(GHS_Table[[#This Row],[Marker name]],BaseInfos_Table[],3,FALSE)</f>
        <v>n.a.</v>
      </c>
      <c r="C44" s="11" t="str">
        <f>VLOOKUP(GHS_Table[[#This Row],[Marker name]],BaseInfos_Table[],3,FALSE)</f>
        <v>n.a.</v>
      </c>
      <c r="D44" s="11" t="str">
        <f>VLOOKUP(GHS_Table[[#This Row],[Marker name]],BaseInfos_Table[],3,FALSE)</f>
        <v>n.a.</v>
      </c>
      <c r="E44" s="11" t="str">
        <f>VLOOKUP(GHS_Table[[#This Row],[Marker name]],BaseInfos_Table[],3,FALSE)</f>
        <v>n.a.</v>
      </c>
      <c r="F44" s="11" t="str">
        <f>VLOOKUP(GHS_Table[[#This Row],[Marker name]],BaseInfos_Table[],3,FALSE)</f>
        <v>n.a.</v>
      </c>
      <c r="G44" s="11" t="str">
        <f>VLOOKUP(GHS_Table[[#This Row],[Marker name]],BaseInfos_Table[],3,FALSE)</f>
        <v>n.a.</v>
      </c>
    </row>
    <row r="45" spans="1:7" ht="16.5" x14ac:dyDescent="0.3">
      <c r="A45" s="15" t="s">
        <v>705</v>
      </c>
      <c r="B45" s="11" t="str">
        <f>VLOOKUP(GHS_Table[[#This Row],[Marker name]],BaseInfos_Table[],3,FALSE)</f>
        <v>n.a.</v>
      </c>
      <c r="C45" s="11" t="str">
        <f>VLOOKUP(GHS_Table[[#This Row],[Marker name]],BaseInfos_Table[],3,FALSE)</f>
        <v>n.a.</v>
      </c>
      <c r="D45" s="11" t="str">
        <f>VLOOKUP(GHS_Table[[#This Row],[Marker name]],BaseInfos_Table[],3,FALSE)</f>
        <v>n.a.</v>
      </c>
      <c r="E45" s="11" t="str">
        <f>VLOOKUP(GHS_Table[[#This Row],[Marker name]],BaseInfos_Table[],3,FALSE)</f>
        <v>n.a.</v>
      </c>
      <c r="F45" s="11" t="str">
        <f>VLOOKUP(GHS_Table[[#This Row],[Marker name]],BaseInfos_Table[],3,FALSE)</f>
        <v>n.a.</v>
      </c>
      <c r="G45" s="11" t="str">
        <f>VLOOKUP(GHS_Table[[#This Row],[Marker name]],BaseInfos_Table[],3,FALSE)</f>
        <v>n.a.</v>
      </c>
    </row>
    <row r="46" spans="1:7" x14ac:dyDescent="0.3">
      <c r="A46" s="14" t="s">
        <v>706</v>
      </c>
      <c r="B46" s="11" t="str">
        <f>VLOOKUP(GHS_Table[[#This Row],[Marker name]],BaseInfos_Table[],3,FALSE)</f>
        <v>12036-44-1</v>
      </c>
      <c r="C46" s="8" t="s">
        <v>243</v>
      </c>
      <c r="D46" s="8" t="s">
        <v>55</v>
      </c>
      <c r="E46" s="8">
        <v>3</v>
      </c>
      <c r="F46" s="8">
        <v>0</v>
      </c>
      <c r="G46" s="8" t="s">
        <v>664</v>
      </c>
    </row>
    <row r="47" spans="1:7" x14ac:dyDescent="0.3">
      <c r="A47" s="14" t="s">
        <v>707</v>
      </c>
      <c r="B47" s="11" t="str">
        <f>VLOOKUP(GHS_Table[[#This Row],[Marker name]],BaseInfos_Table[],3,FALSE)</f>
        <v>12037-01-3</v>
      </c>
      <c r="C47" s="8" t="s">
        <v>248</v>
      </c>
      <c r="D47" s="8">
        <v>0</v>
      </c>
      <c r="E47" s="8">
        <v>0</v>
      </c>
      <c r="F47" s="8">
        <v>0</v>
      </c>
      <c r="G47" s="8" t="s">
        <v>664</v>
      </c>
    </row>
    <row r="48" spans="1:7" x14ac:dyDescent="0.3">
      <c r="A48" s="14" t="s">
        <v>708</v>
      </c>
      <c r="B48" s="11" t="str">
        <f>VLOOKUP(GHS_Table[[#This Row],[Marker name]],BaseInfos_Table[],3,FALSE)</f>
        <v>12036-41-8</v>
      </c>
      <c r="C48" s="8" t="s">
        <v>243</v>
      </c>
      <c r="D48" s="8" t="s">
        <v>55</v>
      </c>
      <c r="E48" s="8">
        <v>3</v>
      </c>
      <c r="F48" s="8">
        <v>3</v>
      </c>
      <c r="G48" s="8" t="s">
        <v>664</v>
      </c>
    </row>
    <row r="49" spans="1:7" x14ac:dyDescent="0.3">
      <c r="A49" s="14" t="s">
        <v>434</v>
      </c>
      <c r="B49" s="11" t="str">
        <f>VLOOKUP(GHS_Table[[#This Row],[Marker name]],BaseInfos_Table[],3,FALSE)</f>
        <v>578-95-0</v>
      </c>
      <c r="C49" s="8" t="s">
        <v>243</v>
      </c>
      <c r="D49" s="8" t="s">
        <v>55</v>
      </c>
      <c r="E49" s="8">
        <v>2</v>
      </c>
      <c r="F49" s="8">
        <v>0</v>
      </c>
      <c r="G49" s="8" t="s">
        <v>664</v>
      </c>
    </row>
    <row r="50" spans="1:7" x14ac:dyDescent="0.3">
      <c r="A50" s="14" t="s">
        <v>439</v>
      </c>
      <c r="B50" s="11" t="str">
        <f>VLOOKUP(GHS_Table[[#This Row],[Marker name]],BaseInfos_Table[],3,FALSE)</f>
        <v>38609-97-1</v>
      </c>
      <c r="C50" s="8" t="s">
        <v>243</v>
      </c>
      <c r="D50" s="8" t="s">
        <v>55</v>
      </c>
      <c r="E50" s="8">
        <v>3</v>
      </c>
      <c r="F50" s="8">
        <v>0</v>
      </c>
      <c r="G50" s="8" t="s">
        <v>664</v>
      </c>
    </row>
    <row r="51" spans="1:7" x14ac:dyDescent="0.3">
      <c r="A51" s="8" t="s">
        <v>437</v>
      </c>
      <c r="B51" s="11" t="str">
        <f>VLOOKUP(GHS_Table[[#This Row],[Marker name]],BaseInfos_Table[],3,FALSE)</f>
        <v>n.a.</v>
      </c>
      <c r="C51" s="11" t="str">
        <f>VLOOKUP(GHS_Table[[#This Row],[Marker name]],BaseInfos_Table[],3,FALSE)</f>
        <v>n.a.</v>
      </c>
      <c r="D51" s="11" t="str">
        <f>VLOOKUP(GHS_Table[[#This Row],[Marker name]],BaseInfos_Table[],3,FALSE)</f>
        <v>n.a.</v>
      </c>
      <c r="E51" s="11" t="str">
        <f>VLOOKUP(GHS_Table[[#This Row],[Marker name]],BaseInfos_Table[],3,FALSE)</f>
        <v>n.a.</v>
      </c>
      <c r="F51" s="11" t="str">
        <f>VLOOKUP(GHS_Table[[#This Row],[Marker name]],BaseInfos_Table[],3,FALSE)</f>
        <v>n.a.</v>
      </c>
      <c r="G51" s="11" t="str">
        <f>VLOOKUP(GHS_Table[[#This Row],[Marker name]],BaseInfos_Table[],3,FALSE)</f>
        <v>n.a.</v>
      </c>
    </row>
    <row r="52" spans="1:7" x14ac:dyDescent="0.3">
      <c r="A52" s="8" t="s">
        <v>438</v>
      </c>
      <c r="B52" s="11" t="str">
        <f>VLOOKUP(GHS_Table[[#This Row],[Marker name]],BaseInfos_Table[],3,FALSE)</f>
        <v>n.a.</v>
      </c>
      <c r="C52" s="11" t="str">
        <f>VLOOKUP(GHS_Table[[#This Row],[Marker name]],BaseInfos_Table[],3,FALSE)</f>
        <v>n.a.</v>
      </c>
      <c r="D52" s="11" t="str">
        <f>VLOOKUP(GHS_Table[[#This Row],[Marker name]],BaseInfos_Table[],3,FALSE)</f>
        <v>n.a.</v>
      </c>
      <c r="E52" s="11" t="str">
        <f>VLOOKUP(GHS_Table[[#This Row],[Marker name]],BaseInfos_Table[],3,FALSE)</f>
        <v>n.a.</v>
      </c>
      <c r="F52" s="11" t="str">
        <f>VLOOKUP(GHS_Table[[#This Row],[Marker name]],BaseInfos_Table[],3,FALSE)</f>
        <v>n.a.</v>
      </c>
      <c r="G52" s="11" t="str">
        <f>VLOOKUP(GHS_Table[[#This Row],[Marker name]],BaseInfos_Table[],3,FALSE)</f>
        <v>n.a.</v>
      </c>
    </row>
    <row r="53" spans="1:7" x14ac:dyDescent="0.3">
      <c r="A53" s="14" t="s">
        <v>442</v>
      </c>
      <c r="B53" s="11" t="str">
        <f>VLOOKUP(GHS_Table[[#This Row],[Marker name]],BaseInfos_Table[],3,FALSE)</f>
        <v>n.a.</v>
      </c>
      <c r="C53" s="11" t="str">
        <f>VLOOKUP(GHS_Table[[#This Row],[Marker name]],BaseInfos_Table[],3,FALSE)</f>
        <v>n.a.</v>
      </c>
      <c r="D53" s="11" t="str">
        <f>VLOOKUP(GHS_Table[[#This Row],[Marker name]],BaseInfos_Table[],3,FALSE)</f>
        <v>n.a.</v>
      </c>
      <c r="E53" s="11" t="str">
        <f>VLOOKUP(GHS_Table[[#This Row],[Marker name]],BaseInfos_Table[],3,FALSE)</f>
        <v>n.a.</v>
      </c>
      <c r="F53" s="11" t="str">
        <f>VLOOKUP(GHS_Table[[#This Row],[Marker name]],BaseInfos_Table[],3,FALSE)</f>
        <v>n.a.</v>
      </c>
      <c r="G53" s="11" t="str">
        <f>VLOOKUP(GHS_Table[[#This Row],[Marker name]],BaseInfos_Table[],3,FALSE)</f>
        <v>n.a.</v>
      </c>
    </row>
    <row r="54" spans="1:7" x14ac:dyDescent="0.3">
      <c r="A54" s="14" t="s">
        <v>443</v>
      </c>
      <c r="B54" s="11" t="str">
        <f>VLOOKUP(GHS_Table[[#This Row],[Marker name]],BaseInfos_Table[],3,FALSE)</f>
        <v>n.a.</v>
      </c>
      <c r="C54" s="11" t="str">
        <f>VLOOKUP(GHS_Table[[#This Row],[Marker name]],BaseInfos_Table[],3,FALSE)</f>
        <v>n.a.</v>
      </c>
      <c r="D54" s="11" t="str">
        <f>VLOOKUP(GHS_Table[[#This Row],[Marker name]],BaseInfos_Table[],3,FALSE)</f>
        <v>n.a.</v>
      </c>
      <c r="E54" s="11" t="str">
        <f>VLOOKUP(GHS_Table[[#This Row],[Marker name]],BaseInfos_Table[],3,FALSE)</f>
        <v>n.a.</v>
      </c>
      <c r="F54" s="11" t="str">
        <f>VLOOKUP(GHS_Table[[#This Row],[Marker name]],BaseInfos_Table[],3,FALSE)</f>
        <v>n.a.</v>
      </c>
      <c r="G54" s="11" t="str">
        <f>VLOOKUP(GHS_Table[[#This Row],[Marker name]],BaseInfos_Table[],3,FALSE)</f>
        <v>n.a.</v>
      </c>
    </row>
    <row r="55" spans="1:7" x14ac:dyDescent="0.3">
      <c r="A55" s="14" t="s">
        <v>444</v>
      </c>
      <c r="B55" s="11" t="str">
        <f>VLOOKUP(GHS_Table[[#This Row],[Marker name]],BaseInfos_Table[],3,FALSE)</f>
        <v>n.a.</v>
      </c>
      <c r="C55" s="11" t="str">
        <f>VLOOKUP(GHS_Table[[#This Row],[Marker name]],BaseInfos_Table[],3,FALSE)</f>
        <v>n.a.</v>
      </c>
      <c r="D55" s="11" t="str">
        <f>VLOOKUP(GHS_Table[[#This Row],[Marker name]],BaseInfos_Table[],3,FALSE)</f>
        <v>n.a.</v>
      </c>
      <c r="E55" s="11" t="str">
        <f>VLOOKUP(GHS_Table[[#This Row],[Marker name]],BaseInfos_Table[],3,FALSE)</f>
        <v>n.a.</v>
      </c>
      <c r="F55" s="11" t="str">
        <f>VLOOKUP(GHS_Table[[#This Row],[Marker name]],BaseInfos_Table[],3,FALSE)</f>
        <v>n.a.</v>
      </c>
      <c r="G55" s="11" t="str">
        <f>VLOOKUP(GHS_Table[[#This Row],[Marker name]],BaseInfos_Table[],3,FALSE)</f>
        <v>n.a.</v>
      </c>
    </row>
    <row r="56" spans="1:7" x14ac:dyDescent="0.3">
      <c r="A56" s="14" t="s">
        <v>445</v>
      </c>
      <c r="B56" s="11" t="str">
        <f>VLOOKUP(GHS_Table[[#This Row],[Marker name]],BaseInfos_Table[],3,FALSE)</f>
        <v>24782-64-7</v>
      </c>
      <c r="C56" s="8" t="s">
        <v>243</v>
      </c>
      <c r="D56" s="8" t="s">
        <v>55</v>
      </c>
      <c r="E56" s="8">
        <v>3</v>
      </c>
      <c r="F56" s="8">
        <v>4</v>
      </c>
      <c r="G56" s="8" t="s">
        <v>666</v>
      </c>
    </row>
    <row r="57" spans="1:7" x14ac:dyDescent="0.3">
      <c r="A57" s="14" t="s">
        <v>446</v>
      </c>
      <c r="B57" s="11" t="str">
        <f>VLOOKUP(GHS_Table[[#This Row],[Marker name]],BaseInfos_Table[],3,FALSE)</f>
        <v>n.a.</v>
      </c>
      <c r="C57" s="11" t="str">
        <f>VLOOKUP(GHS_Table[[#This Row],[Marker name]],BaseInfos_Table[],3,FALSE)</f>
        <v>n.a.</v>
      </c>
      <c r="D57" s="11" t="str">
        <f>VLOOKUP(GHS_Table[[#This Row],[Marker name]],BaseInfos_Table[],3,FALSE)</f>
        <v>n.a.</v>
      </c>
      <c r="E57" s="11" t="str">
        <f>VLOOKUP(GHS_Table[[#This Row],[Marker name]],BaseInfos_Table[],3,FALSE)</f>
        <v>n.a.</v>
      </c>
      <c r="F57" s="11" t="str">
        <f>VLOOKUP(GHS_Table[[#This Row],[Marker name]],BaseInfos_Table[],3,FALSE)</f>
        <v>n.a.</v>
      </c>
      <c r="G57" s="11" t="str">
        <f>VLOOKUP(GHS_Table[[#This Row],[Marker name]],BaseInfos_Table[],3,FALSE)</f>
        <v>n.a.</v>
      </c>
    </row>
    <row r="58" spans="1:7" x14ac:dyDescent="0.3">
      <c r="A58" s="14" t="s">
        <v>447</v>
      </c>
      <c r="B58" s="11" t="str">
        <f>VLOOKUP(GHS_Table[[#This Row],[Marker name]],BaseInfos_Table[],3,FALSE)</f>
        <v>n.a.</v>
      </c>
      <c r="C58" s="11" t="str">
        <f>VLOOKUP(GHS_Table[[#This Row],[Marker name]],BaseInfos_Table[],3,FALSE)</f>
        <v>n.a.</v>
      </c>
      <c r="D58" s="11" t="str">
        <f>VLOOKUP(GHS_Table[[#This Row],[Marker name]],BaseInfos_Table[],3,FALSE)</f>
        <v>n.a.</v>
      </c>
      <c r="E58" s="11" t="str">
        <f>VLOOKUP(GHS_Table[[#This Row],[Marker name]],BaseInfos_Table[],3,FALSE)</f>
        <v>n.a.</v>
      </c>
      <c r="F58" s="11" t="str">
        <f>VLOOKUP(GHS_Table[[#This Row],[Marker name]],BaseInfos_Table[],3,FALSE)</f>
        <v>n.a.</v>
      </c>
      <c r="G58" s="11" t="str">
        <f>VLOOKUP(GHS_Table[[#This Row],[Marker name]],BaseInfos_Table[],3,FALSE)</f>
        <v>n.a.</v>
      </c>
    </row>
    <row r="59" spans="1:7" x14ac:dyDescent="0.3">
      <c r="A59" s="14" t="s">
        <v>448</v>
      </c>
      <c r="B59" s="11" t="str">
        <f>VLOOKUP(GHS_Table[[#This Row],[Marker name]],BaseInfos_Table[],3,FALSE)</f>
        <v>n.a.</v>
      </c>
      <c r="C59" s="11" t="str">
        <f>VLOOKUP(GHS_Table[[#This Row],[Marker name]],BaseInfos_Table[],3,FALSE)</f>
        <v>n.a.</v>
      </c>
      <c r="D59" s="11" t="str">
        <f>VLOOKUP(GHS_Table[[#This Row],[Marker name]],BaseInfos_Table[],3,FALSE)</f>
        <v>n.a.</v>
      </c>
      <c r="E59" s="11" t="str">
        <f>VLOOKUP(GHS_Table[[#This Row],[Marker name]],BaseInfos_Table[],3,FALSE)</f>
        <v>n.a.</v>
      </c>
      <c r="F59" s="11" t="str">
        <f>VLOOKUP(GHS_Table[[#This Row],[Marker name]],BaseInfos_Table[],3,FALSE)</f>
        <v>n.a.</v>
      </c>
      <c r="G59" s="11" t="str">
        <f>VLOOKUP(GHS_Table[[#This Row],[Marker name]],BaseInfos_Table[],3,FALSE)</f>
        <v>n.a.</v>
      </c>
    </row>
    <row r="60" spans="1:7" x14ac:dyDescent="0.3">
      <c r="A60" s="14" t="s">
        <v>449</v>
      </c>
      <c r="B60" s="11" t="str">
        <f>VLOOKUP(GHS_Table[[#This Row],[Marker name]],BaseInfos_Table[],3,FALSE)</f>
        <v>n.a.</v>
      </c>
      <c r="C60" s="11" t="str">
        <f>VLOOKUP(GHS_Table[[#This Row],[Marker name]],BaseInfos_Table[],3,FALSE)</f>
        <v>n.a.</v>
      </c>
      <c r="D60" s="11" t="str">
        <f>VLOOKUP(GHS_Table[[#This Row],[Marker name]],BaseInfos_Table[],3,FALSE)</f>
        <v>n.a.</v>
      </c>
      <c r="E60" s="11" t="str">
        <f>VLOOKUP(GHS_Table[[#This Row],[Marker name]],BaseInfos_Table[],3,FALSE)</f>
        <v>n.a.</v>
      </c>
      <c r="F60" s="11" t="str">
        <f>VLOOKUP(GHS_Table[[#This Row],[Marker name]],BaseInfos_Table[],3,FALSE)</f>
        <v>n.a.</v>
      </c>
      <c r="G60" s="11" t="str">
        <f>VLOOKUP(GHS_Table[[#This Row],[Marker name]],BaseInfos_Table[],3,FALSE)</f>
        <v>n.a.</v>
      </c>
    </row>
    <row r="61" spans="1:7" x14ac:dyDescent="0.3">
      <c r="A61" s="14" t="s">
        <v>450</v>
      </c>
      <c r="B61" s="11" t="str">
        <f>VLOOKUP(GHS_Table[[#This Row],[Marker name]],BaseInfos_Table[],3,FALSE)</f>
        <v>n.a.</v>
      </c>
      <c r="C61" s="11" t="str">
        <f>VLOOKUP(GHS_Table[[#This Row],[Marker name]],BaseInfos_Table[],3,FALSE)</f>
        <v>n.a.</v>
      </c>
      <c r="D61" s="11" t="str">
        <f>VLOOKUP(GHS_Table[[#This Row],[Marker name]],BaseInfos_Table[],3,FALSE)</f>
        <v>n.a.</v>
      </c>
      <c r="E61" s="11" t="str">
        <f>VLOOKUP(GHS_Table[[#This Row],[Marker name]],BaseInfos_Table[],3,FALSE)</f>
        <v>n.a.</v>
      </c>
      <c r="F61" s="11" t="str">
        <f>VLOOKUP(GHS_Table[[#This Row],[Marker name]],BaseInfos_Table[],3,FALSE)</f>
        <v>n.a.</v>
      </c>
      <c r="G61" s="11" t="str">
        <f>VLOOKUP(GHS_Table[[#This Row],[Marker name]],BaseInfos_Table[],3,FALSE)</f>
        <v>n.a.</v>
      </c>
    </row>
    <row r="62" spans="1:7" x14ac:dyDescent="0.3">
      <c r="A62" s="14" t="s">
        <v>451</v>
      </c>
      <c r="B62" s="11" t="str">
        <f>VLOOKUP(GHS_Table[[#This Row],[Marker name]],BaseInfos_Table[],3,FALSE)</f>
        <v>n.a.</v>
      </c>
      <c r="C62" s="11" t="str">
        <f>VLOOKUP(GHS_Table[[#This Row],[Marker name]],BaseInfos_Table[],3,FALSE)</f>
        <v>n.a.</v>
      </c>
      <c r="D62" s="11" t="str">
        <f>VLOOKUP(GHS_Table[[#This Row],[Marker name]],BaseInfos_Table[],3,FALSE)</f>
        <v>n.a.</v>
      </c>
      <c r="E62" s="11" t="str">
        <f>VLOOKUP(GHS_Table[[#This Row],[Marker name]],BaseInfos_Table[],3,FALSE)</f>
        <v>n.a.</v>
      </c>
      <c r="F62" s="11" t="str">
        <f>VLOOKUP(GHS_Table[[#This Row],[Marker name]],BaseInfos_Table[],3,FALSE)</f>
        <v>n.a.</v>
      </c>
      <c r="G62" s="11" t="str">
        <f>VLOOKUP(GHS_Table[[#This Row],[Marker name]],BaseInfos_Table[],3,FALSE)</f>
        <v>n.a.</v>
      </c>
    </row>
    <row r="63" spans="1:7" x14ac:dyDescent="0.3">
      <c r="A63" s="14" t="s">
        <v>452</v>
      </c>
      <c r="B63" s="11" t="str">
        <f>VLOOKUP(GHS_Table[[#This Row],[Marker name]],BaseInfos_Table[],3,FALSE)</f>
        <v>n.a.</v>
      </c>
      <c r="C63" s="11" t="str">
        <f>VLOOKUP(GHS_Table[[#This Row],[Marker name]],BaseInfos_Table[],3,FALSE)</f>
        <v>n.a.</v>
      </c>
      <c r="D63" s="11" t="str">
        <f>VLOOKUP(GHS_Table[[#This Row],[Marker name]],BaseInfos_Table[],3,FALSE)</f>
        <v>n.a.</v>
      </c>
      <c r="E63" s="11" t="str">
        <f>VLOOKUP(GHS_Table[[#This Row],[Marker name]],BaseInfos_Table[],3,FALSE)</f>
        <v>n.a.</v>
      </c>
      <c r="F63" s="11" t="str">
        <f>VLOOKUP(GHS_Table[[#This Row],[Marker name]],BaseInfos_Table[],3,FALSE)</f>
        <v>n.a.</v>
      </c>
      <c r="G63" s="11" t="str">
        <f>VLOOKUP(GHS_Table[[#This Row],[Marker name]],BaseInfos_Table[],3,FALSE)</f>
        <v>n.a.</v>
      </c>
    </row>
    <row r="64" spans="1:7" x14ac:dyDescent="0.3">
      <c r="A64" s="14" t="s">
        <v>453</v>
      </c>
      <c r="B64" s="11" t="str">
        <f>VLOOKUP(GHS_Table[[#This Row],[Marker name]],BaseInfos_Table[],3,FALSE)</f>
        <v>n.a.</v>
      </c>
      <c r="C64" s="11" t="str">
        <f>VLOOKUP(GHS_Table[[#This Row],[Marker name]],BaseInfos_Table[],3,FALSE)</f>
        <v>n.a.</v>
      </c>
      <c r="D64" s="11" t="str">
        <f>VLOOKUP(GHS_Table[[#This Row],[Marker name]],BaseInfos_Table[],3,FALSE)</f>
        <v>n.a.</v>
      </c>
      <c r="E64" s="11" t="str">
        <f>VLOOKUP(GHS_Table[[#This Row],[Marker name]],BaseInfos_Table[],3,FALSE)</f>
        <v>n.a.</v>
      </c>
      <c r="F64" s="11" t="str">
        <f>VLOOKUP(GHS_Table[[#This Row],[Marker name]],BaseInfos_Table[],3,FALSE)</f>
        <v>n.a.</v>
      </c>
      <c r="G64" s="11" t="str">
        <f>VLOOKUP(GHS_Table[[#This Row],[Marker name]],BaseInfos_Table[],3,FALSE)</f>
        <v>n.a.</v>
      </c>
    </row>
    <row r="65" spans="1:7" x14ac:dyDescent="0.3">
      <c r="A65" s="14" t="s">
        <v>454</v>
      </c>
      <c r="B65" s="11" t="str">
        <f>VLOOKUP(GHS_Table[[#This Row],[Marker name]],BaseInfos_Table[],3,FALSE)</f>
        <v>n.a.</v>
      </c>
      <c r="C65" s="11" t="str">
        <f>VLOOKUP(GHS_Table[[#This Row],[Marker name]],BaseInfos_Table[],3,FALSE)</f>
        <v>n.a.</v>
      </c>
      <c r="D65" s="11" t="str">
        <f>VLOOKUP(GHS_Table[[#This Row],[Marker name]],BaseInfos_Table[],3,FALSE)</f>
        <v>n.a.</v>
      </c>
      <c r="E65" s="11" t="str">
        <f>VLOOKUP(GHS_Table[[#This Row],[Marker name]],BaseInfos_Table[],3,FALSE)</f>
        <v>n.a.</v>
      </c>
      <c r="F65" s="11" t="str">
        <f>VLOOKUP(GHS_Table[[#This Row],[Marker name]],BaseInfos_Table[],3,FALSE)</f>
        <v>n.a.</v>
      </c>
      <c r="G65" s="11" t="str">
        <f>VLOOKUP(GHS_Table[[#This Row],[Marker name]],BaseInfos_Table[],3,FALSE)</f>
        <v>n.a.</v>
      </c>
    </row>
    <row r="66" spans="1:7" x14ac:dyDescent="0.3">
      <c r="A66" s="14" t="s">
        <v>455</v>
      </c>
      <c r="B66" s="11" t="str">
        <f>VLOOKUP(GHS_Table[[#This Row],[Marker name]],BaseInfos_Table[],3,FALSE)</f>
        <v>134272-64-3</v>
      </c>
      <c r="C66" s="8" t="s">
        <v>243</v>
      </c>
      <c r="D66" s="8" t="s">
        <v>55</v>
      </c>
      <c r="E66" s="8">
        <v>3</v>
      </c>
      <c r="F66" s="8" t="s">
        <v>55</v>
      </c>
      <c r="G66" s="8" t="s">
        <v>55</v>
      </c>
    </row>
    <row r="67" spans="1:7" x14ac:dyDescent="0.3">
      <c r="A67" s="14" t="s">
        <v>465</v>
      </c>
      <c r="B67" s="11" t="str">
        <f>VLOOKUP(GHS_Table[[#This Row],[Marker name]],BaseInfos_Table[],3,FALSE)</f>
        <v>n.a.</v>
      </c>
      <c r="C67" s="8" t="s">
        <v>55</v>
      </c>
      <c r="D67" s="8" t="s">
        <v>55</v>
      </c>
      <c r="E67" s="11" t="str">
        <f>VLOOKUP(GHS_Table[[#This Row],[Marker name]],BaseInfos_Table[],3,FALSE)</f>
        <v>n.a.</v>
      </c>
      <c r="F67" s="8" t="s">
        <v>55</v>
      </c>
      <c r="G67" s="8" t="s">
        <v>55</v>
      </c>
    </row>
    <row r="68" spans="1:7" x14ac:dyDescent="0.3">
      <c r="A68" s="14" t="s">
        <v>466</v>
      </c>
      <c r="B68" s="11" t="str">
        <f>VLOOKUP(GHS_Table[[#This Row],[Marker name]],BaseInfos_Table[],3,FALSE)</f>
        <v>n.a.</v>
      </c>
      <c r="C68" s="8" t="s">
        <v>55</v>
      </c>
      <c r="D68" s="8" t="s">
        <v>55</v>
      </c>
      <c r="E68" s="11" t="str">
        <f>VLOOKUP(GHS_Table[[#This Row],[Marker name]],BaseInfos_Table[],3,FALSE)</f>
        <v>n.a.</v>
      </c>
      <c r="F68" s="8" t="s">
        <v>55</v>
      </c>
      <c r="G68" s="8" t="s">
        <v>55</v>
      </c>
    </row>
    <row r="69" spans="1:7" x14ac:dyDescent="0.3">
      <c r="A69" s="14" t="s">
        <v>467</v>
      </c>
      <c r="B69" s="11" t="str">
        <f>VLOOKUP(GHS_Table[[#This Row],[Marker name]],BaseInfos_Table[],3,FALSE)</f>
        <v>n.a.</v>
      </c>
      <c r="C69" s="8" t="s">
        <v>55</v>
      </c>
      <c r="D69" s="8" t="s">
        <v>55</v>
      </c>
      <c r="E69" s="11" t="str">
        <f>VLOOKUP(GHS_Table[[#This Row],[Marker name]],BaseInfos_Table[],3,FALSE)</f>
        <v>n.a.</v>
      </c>
      <c r="F69" s="8" t="s">
        <v>55</v>
      </c>
      <c r="G69" s="8" t="s">
        <v>55</v>
      </c>
    </row>
    <row r="70" spans="1:7" x14ac:dyDescent="0.3">
      <c r="A70" s="14" t="s">
        <v>468</v>
      </c>
      <c r="B70" s="11" t="str">
        <f>VLOOKUP(GHS_Table[[#This Row],[Marker name]],BaseInfos_Table[],3,FALSE)</f>
        <v>n.a.</v>
      </c>
      <c r="C70" s="8" t="s">
        <v>55</v>
      </c>
      <c r="D70" s="8" t="s">
        <v>55</v>
      </c>
      <c r="E70" s="11" t="str">
        <f>VLOOKUP(GHS_Table[[#This Row],[Marker name]],BaseInfos_Table[],3,FALSE)</f>
        <v>n.a.</v>
      </c>
      <c r="F70" s="8" t="s">
        <v>55</v>
      </c>
      <c r="G70" s="8" t="s">
        <v>55</v>
      </c>
    </row>
    <row r="71" spans="1:7" x14ac:dyDescent="0.3">
      <c r="A71" s="14" t="s">
        <v>709</v>
      </c>
      <c r="B71" s="11" t="str">
        <f>VLOOKUP(GHS_Table[[#This Row],[Marker name]],BaseInfos_Table[],3,FALSE)</f>
        <v>12027-88-2</v>
      </c>
      <c r="C71" s="8" t="s">
        <v>243</v>
      </c>
      <c r="D71" s="8" t="s">
        <v>55</v>
      </c>
      <c r="E71" s="8">
        <v>0</v>
      </c>
      <c r="F71" s="8">
        <v>2</v>
      </c>
      <c r="G71" s="8" t="s">
        <v>665</v>
      </c>
    </row>
    <row r="72" spans="1:7" ht="16.5" x14ac:dyDescent="0.3">
      <c r="A72" s="14" t="s">
        <v>710</v>
      </c>
      <c r="B72" s="11" t="str">
        <f>VLOOKUP(GHS_Table[[#This Row],[Marker name]],BaseInfos_Table[],3,FALSE)</f>
        <v>n.a.</v>
      </c>
      <c r="C72" s="8" t="s">
        <v>55</v>
      </c>
      <c r="D72" s="8" t="s">
        <v>55</v>
      </c>
      <c r="E72" s="11" t="str">
        <f>VLOOKUP(GHS_Table[[#This Row],[Marker name]],BaseInfos_Table[],3,FALSE)</f>
        <v>n.a.</v>
      </c>
      <c r="F72" s="8" t="s">
        <v>55</v>
      </c>
      <c r="G72" s="8" t="s">
        <v>55</v>
      </c>
    </row>
    <row r="73" spans="1:7" ht="16.5" x14ac:dyDescent="0.3">
      <c r="A73" s="14" t="s">
        <v>711</v>
      </c>
      <c r="B73" s="11" t="str">
        <f>VLOOKUP(GHS_Table[[#This Row],[Marker name]],BaseInfos_Table[],3,FALSE)</f>
        <v>n.a.</v>
      </c>
      <c r="C73" s="8" t="s">
        <v>55</v>
      </c>
      <c r="D73" s="8" t="s">
        <v>55</v>
      </c>
      <c r="E73" s="11" t="str">
        <f>VLOOKUP(GHS_Table[[#This Row],[Marker name]],BaseInfos_Table[],3,FALSE)</f>
        <v>n.a.</v>
      </c>
      <c r="F73" s="8" t="s">
        <v>55</v>
      </c>
      <c r="G73" s="8" t="s">
        <v>55</v>
      </c>
    </row>
    <row r="74" spans="1:7" x14ac:dyDescent="0.3">
      <c r="A74" s="14" t="s">
        <v>712</v>
      </c>
      <c r="B74" s="11" t="str">
        <f>VLOOKUP(GHS_Table[[#This Row],[Marker name]],BaseInfos_Table[],3,FALSE)</f>
        <v>12005-21-9</v>
      </c>
      <c r="C74" s="8" t="s">
        <v>248</v>
      </c>
      <c r="D74" s="8">
        <v>0</v>
      </c>
      <c r="E74" s="8">
        <v>0</v>
      </c>
      <c r="F74" s="8">
        <v>0</v>
      </c>
      <c r="G74" s="8" t="s">
        <v>664</v>
      </c>
    </row>
    <row r="75" spans="1:7" x14ac:dyDescent="0.3">
      <c r="A75" s="14" t="s">
        <v>525</v>
      </c>
      <c r="B75" s="11" t="str">
        <f>VLOOKUP(GHS_Table[[#This Row],[Marker name]],BaseInfos_Table[],3,FALSE)</f>
        <v>n.a.</v>
      </c>
      <c r="C75" s="8" t="s">
        <v>55</v>
      </c>
      <c r="D75" s="8" t="s">
        <v>55</v>
      </c>
      <c r="E75" s="11" t="str">
        <f>VLOOKUP(GHS_Table[[#This Row],[Marker name]],BaseInfos_Table[],3,FALSE)</f>
        <v>n.a.</v>
      </c>
      <c r="F75" s="8" t="s">
        <v>55</v>
      </c>
      <c r="G75" s="8" t="s">
        <v>55</v>
      </c>
    </row>
    <row r="76" spans="1:7" x14ac:dyDescent="0.3">
      <c r="A76" s="14" t="s">
        <v>578</v>
      </c>
      <c r="B76" s="11" t="str">
        <f>VLOOKUP(GHS_Table[[#This Row],[Marker name]],BaseInfos_Table[],3,FALSE)</f>
        <v>1345-25-1</v>
      </c>
      <c r="C76" s="8" t="s">
        <v>248</v>
      </c>
      <c r="D76" s="8">
        <v>0</v>
      </c>
      <c r="E76" s="8">
        <v>0</v>
      </c>
      <c r="F76" s="8">
        <v>0</v>
      </c>
      <c r="G76" s="8" t="s">
        <v>664</v>
      </c>
    </row>
    <row r="77" spans="1:7" x14ac:dyDescent="0.3">
      <c r="A77" s="14" t="s">
        <v>573</v>
      </c>
      <c r="B77" s="11" t="str">
        <f>VLOOKUP(GHS_Table[[#This Row],[Marker name]],BaseInfos_Table[],3,FALSE)</f>
        <v>1314-13-2</v>
      </c>
      <c r="C77" s="8" t="s">
        <v>248</v>
      </c>
      <c r="D77" s="8">
        <v>1</v>
      </c>
      <c r="E77" s="8">
        <v>2</v>
      </c>
      <c r="F77" s="8">
        <v>2</v>
      </c>
      <c r="G77" s="8" t="s">
        <v>664</v>
      </c>
    </row>
    <row r="78" spans="1:7" x14ac:dyDescent="0.3">
      <c r="A78" s="14" t="s">
        <v>713</v>
      </c>
      <c r="B78" s="11" t="str">
        <f>VLOOKUP(GHS_Table[[#This Row],[Marker name]],BaseInfos_Table[],3,FALSE)</f>
        <v>12063-19-3</v>
      </c>
      <c r="C78" s="8" t="s">
        <v>243</v>
      </c>
      <c r="D78" s="8" t="s">
        <v>55</v>
      </c>
      <c r="E78" s="8">
        <v>5</v>
      </c>
      <c r="F78" s="8">
        <v>0</v>
      </c>
      <c r="G78" s="8" t="s">
        <v>664</v>
      </c>
    </row>
    <row r="79" spans="1:7" x14ac:dyDescent="0.3">
      <c r="A79" s="14" t="s">
        <v>714</v>
      </c>
      <c r="B79" s="11" t="str">
        <f>VLOOKUP(GHS_Table[[#This Row],[Marker name]],BaseInfos_Table[],3,FALSE)</f>
        <v>1309-37-1</v>
      </c>
      <c r="C79" s="8" t="s">
        <v>248</v>
      </c>
      <c r="D79" s="8">
        <v>0</v>
      </c>
      <c r="E79" s="8">
        <v>8</v>
      </c>
      <c r="F79" s="8">
        <v>0</v>
      </c>
      <c r="G79" s="8" t="s">
        <v>664</v>
      </c>
    </row>
    <row r="80" spans="1:7" x14ac:dyDescent="0.3">
      <c r="A80" s="14" t="s">
        <v>715</v>
      </c>
      <c r="B80" s="11" t="str">
        <f>VLOOKUP(GHS_Table[[#This Row],[Marker name]],BaseInfos_Table[],3,FALSE)</f>
        <v>1317-61-9</v>
      </c>
      <c r="C80" s="8" t="s">
        <v>248</v>
      </c>
      <c r="D80" s="8">
        <v>0</v>
      </c>
      <c r="E80" s="8">
        <v>11</v>
      </c>
      <c r="F80" s="8">
        <v>0</v>
      </c>
      <c r="G80" s="8" t="s">
        <v>664</v>
      </c>
    </row>
    <row r="81" spans="1:7" x14ac:dyDescent="0.3">
      <c r="A81" s="14" t="s">
        <v>601</v>
      </c>
      <c r="B81" s="11" t="str">
        <f>VLOOKUP(GHS_Table[[#This Row],[Marker name]],BaseInfos_Table[],3,FALSE)</f>
        <v>n.a.</v>
      </c>
      <c r="C81" s="8" t="s">
        <v>248</v>
      </c>
      <c r="D81" s="8">
        <v>0</v>
      </c>
      <c r="E81" s="8">
        <v>0</v>
      </c>
      <c r="F81" s="8">
        <v>0</v>
      </c>
      <c r="G81" s="8" t="s">
        <v>664</v>
      </c>
    </row>
    <row r="82" spans="1:7" x14ac:dyDescent="0.3">
      <c r="A82" s="14" t="s">
        <v>602</v>
      </c>
      <c r="B82" s="11" t="str">
        <f>VLOOKUP(GHS_Table[[#This Row],[Marker name]],BaseInfos_Table[],3,FALSE)</f>
        <v>7440-44-0</v>
      </c>
      <c r="C82" s="8" t="s">
        <v>248</v>
      </c>
      <c r="D82" s="8">
        <v>0</v>
      </c>
      <c r="E82" s="8">
        <v>1</v>
      </c>
      <c r="F82" s="8">
        <v>0</v>
      </c>
      <c r="G82" s="8" t="s">
        <v>664</v>
      </c>
    </row>
    <row r="83" spans="1:7" x14ac:dyDescent="0.3">
      <c r="B83" s="11" t="e">
        <f>VLOOKUP(GHS_Table[[#This Row],[Marker name]],BaseInfos_Table[],3,FALSE)</f>
        <v>#N/A</v>
      </c>
    </row>
    <row r="84" spans="1:7" x14ac:dyDescent="0.3">
      <c r="B84" s="11" t="e">
        <f>VLOOKUP(GHS_Table[[#This Row],[Marker name]],BaseInfos_Table[],3,FALSE)</f>
        <v>#N/A</v>
      </c>
    </row>
    <row r="85" spans="1:7" x14ac:dyDescent="0.3">
      <c r="B85" s="11" t="e">
        <f>VLOOKUP(GHS_Table[[#This Row],[Marker name]],BaseInfos_Table[],3,FALSE)</f>
        <v>#N/A</v>
      </c>
    </row>
    <row r="86" spans="1:7" x14ac:dyDescent="0.3">
      <c r="B86" s="11" t="e">
        <f>VLOOKUP(GHS_Table[[#This Row],[Marker name]],BaseInfos_Table[],3,FALSE)</f>
        <v>#N/A</v>
      </c>
    </row>
    <row r="87" spans="1:7" x14ac:dyDescent="0.3">
      <c r="B87" s="11" t="e">
        <f>VLOOKUP(GHS_Table[[#This Row],[Marker name]],BaseInfos_Table[],3,FALSE)</f>
        <v>#N/A</v>
      </c>
    </row>
    <row r="88" spans="1:7" x14ac:dyDescent="0.3">
      <c r="B88" s="11" t="e">
        <f>VLOOKUP(GHS_Table[[#This Row],[Marker name]],BaseInfos_Table[],3,FALSE)</f>
        <v>#N/A</v>
      </c>
    </row>
    <row r="89" spans="1:7" x14ac:dyDescent="0.3">
      <c r="B89" s="11" t="e">
        <f>VLOOKUP(GHS_Table[[#This Row],[Marker name]],BaseInfos_Table[],3,FALSE)</f>
        <v>#N/A</v>
      </c>
    </row>
    <row r="90" spans="1:7" x14ac:dyDescent="0.3">
      <c r="B90" s="11" t="e">
        <f>VLOOKUP(GHS_Table[[#This Row],[Marker name]],BaseInfos_Table[],3,FALSE)</f>
        <v>#N/A</v>
      </c>
    </row>
    <row r="91" spans="1:7" x14ac:dyDescent="0.3">
      <c r="B91" s="11" t="e">
        <f>VLOOKUP(GHS_Table[[#This Row],[Marker name]],BaseInfos_Table[],3,FALSE)</f>
        <v>#N/A</v>
      </c>
    </row>
    <row r="92" spans="1:7" x14ac:dyDescent="0.3">
      <c r="B92" s="11" t="e">
        <f>VLOOKUP(GHS_Table[[#This Row],[Marker name]],BaseInfos_Table[],3,FALSE)</f>
        <v>#N/A</v>
      </c>
    </row>
    <row r="93" spans="1:7" x14ac:dyDescent="0.3">
      <c r="B93" s="11" t="e">
        <f>VLOOKUP(GHS_Table[[#This Row],[Marker name]],BaseInfos_Table[],3,FALSE)</f>
        <v>#N/A</v>
      </c>
    </row>
    <row r="94" spans="1:7" x14ac:dyDescent="0.3">
      <c r="B94" s="11" t="e">
        <f>VLOOKUP(GHS_Table[[#This Row],[Marker name]],BaseInfos_Table[],3,FALSE)</f>
        <v>#N/A</v>
      </c>
    </row>
    <row r="95" spans="1:7" x14ac:dyDescent="0.3">
      <c r="B95" s="11" t="e">
        <f>VLOOKUP(GHS_Table[[#This Row],[Marker name]],BaseInfos_Table[],3,FALSE)</f>
        <v>#N/A</v>
      </c>
    </row>
    <row r="96" spans="1:7" x14ac:dyDescent="0.3">
      <c r="B96" s="11" t="e">
        <f>VLOOKUP(GHS_Table[[#This Row],[Marker name]],BaseInfos_Table[],3,FALSE)</f>
        <v>#N/A</v>
      </c>
    </row>
    <row r="97" spans="2:2" x14ac:dyDescent="0.3">
      <c r="B97" s="11" t="e">
        <f>VLOOKUP(GHS_Table[[#This Row],[Marker name]],BaseInfos_Table[],3,FALSE)</f>
        <v>#N/A</v>
      </c>
    </row>
    <row r="98" spans="2:2" x14ac:dyDescent="0.3">
      <c r="B98" s="11" t="e">
        <f>VLOOKUP(GHS_Table[[#This Row],[Marker name]],BaseInfos_Table[],3,FALSE)</f>
        <v>#N/A</v>
      </c>
    </row>
    <row r="99" spans="2:2" x14ac:dyDescent="0.3">
      <c r="B99" s="11" t="e">
        <f>VLOOKUP(GHS_Table[[#This Row],[Marker name]],BaseInfos_Table[],3,FALSE)</f>
        <v>#N/A</v>
      </c>
    </row>
    <row r="100" spans="2:2" x14ac:dyDescent="0.3">
      <c r="B100" s="11" t="e">
        <f>VLOOKUP(GHS_Table[[#This Row],[Marker name]],BaseInfos_Table[],3,FALSE)</f>
        <v>#N/A</v>
      </c>
    </row>
  </sheetData>
  <mergeCells count="9">
    <mergeCell ref="BD1:BN1"/>
    <mergeCell ref="BO1:BQ1"/>
    <mergeCell ref="C2:F2"/>
    <mergeCell ref="H2:BQ2"/>
    <mergeCell ref="A1:K1"/>
    <mergeCell ref="L1:V1"/>
    <mergeCell ref="W1:AG1"/>
    <mergeCell ref="AH1:AR1"/>
    <mergeCell ref="AS1:BC1"/>
  </mergeCells>
  <pageMargins left="0.7" right="0.7" top="0.75" bottom="0.75" header="0.3" footer="0.3"/>
  <legacyDrawing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9"/>
  <sheetViews>
    <sheetView zoomScaleNormal="100" workbookViewId="0">
      <pane xSplit="1" topLeftCell="B1" activePane="topRight" state="frozen"/>
      <selection activeCell="A10" sqref="A10"/>
      <selection pane="topRight" activeCell="A5" sqref="A5"/>
    </sheetView>
  </sheetViews>
  <sheetFormatPr baseColWidth="10" defaultColWidth="9.28515625" defaultRowHeight="15" x14ac:dyDescent="0.3"/>
  <cols>
    <col min="1" max="1" width="95.7109375" style="10" bestFit="1" customWidth="1"/>
    <col min="2" max="2" width="11.140625" style="10" bestFit="1" customWidth="1"/>
    <col min="3" max="3" width="23.140625" style="10" bestFit="1" customWidth="1"/>
    <col min="4" max="4" width="21.28515625" style="10" bestFit="1" customWidth="1"/>
    <col min="5" max="5" width="11.28515625" style="10" bestFit="1" customWidth="1"/>
    <col min="6" max="6" width="21.140625" style="10" bestFit="1" customWidth="1"/>
    <col min="7" max="7" width="10.7109375" style="10" bestFit="1" customWidth="1"/>
    <col min="8" max="8" width="20.28515625" style="10" bestFit="1" customWidth="1"/>
    <col min="9" max="9" width="17.85546875" style="10" bestFit="1" customWidth="1"/>
    <col min="10" max="10" width="20.28515625" style="10" bestFit="1" customWidth="1"/>
    <col min="11" max="11" width="24.5703125" style="10" bestFit="1" customWidth="1"/>
    <col min="12" max="12" width="18.85546875" style="10" bestFit="1" customWidth="1"/>
    <col min="13" max="13" width="10.85546875" style="10" bestFit="1" customWidth="1"/>
    <col min="14" max="14" width="11.28515625" style="10" bestFit="1" customWidth="1"/>
    <col min="15" max="15" width="21.28515625" style="10" bestFit="1" customWidth="1"/>
    <col min="16" max="16" width="14.28515625" style="10" bestFit="1" customWidth="1"/>
    <col min="17" max="17" width="18.85546875" style="10" bestFit="1" customWidth="1"/>
    <col min="18" max="18" width="18.7109375" style="10" bestFit="1" customWidth="1"/>
    <col min="19" max="19" width="12.7109375" style="10" bestFit="1" customWidth="1"/>
    <col min="20" max="20" width="17.42578125" style="10" bestFit="1" customWidth="1"/>
    <col min="21" max="21" width="23.140625" style="10" bestFit="1" customWidth="1"/>
    <col min="22" max="22" width="15.5703125" style="10" bestFit="1" customWidth="1"/>
    <col min="23" max="23" width="19.7109375" style="10" bestFit="1" customWidth="1"/>
    <col min="24" max="24" width="24.42578125" style="10" bestFit="1" customWidth="1"/>
    <col min="25" max="25" width="15.28515625" style="10" bestFit="1" customWidth="1"/>
    <col min="26" max="26" width="15.7109375" style="10" bestFit="1" customWidth="1"/>
    <col min="27" max="27" width="16.7109375" style="10" bestFit="1" customWidth="1"/>
    <col min="28" max="28" width="25.28515625" style="10" bestFit="1" customWidth="1"/>
    <col min="29" max="29" width="17.7109375" style="10" bestFit="1" customWidth="1"/>
    <col min="30" max="30" width="16.85546875" style="10" bestFit="1" customWidth="1"/>
    <col min="31" max="31" width="6.42578125" style="10" bestFit="1" customWidth="1"/>
    <col min="32" max="32" width="21.85546875" style="10" bestFit="1" customWidth="1"/>
    <col min="33" max="33" width="11.85546875" style="10" bestFit="1" customWidth="1"/>
    <col min="34" max="34" width="146.7109375" style="10" bestFit="1" customWidth="1"/>
    <col min="35" max="35" width="95.7109375" style="10" bestFit="1" customWidth="1"/>
    <col min="36" max="16384" width="9.28515625" style="10"/>
  </cols>
  <sheetData>
    <row r="1" spans="1:35" x14ac:dyDescent="0.3">
      <c r="A1" s="25" t="s">
        <v>764</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row>
    <row r="2" spans="1:35" x14ac:dyDescent="0.3">
      <c r="A2" s="24" t="s">
        <v>716</v>
      </c>
      <c r="B2" s="24"/>
      <c r="C2" s="53" t="s">
        <v>58</v>
      </c>
      <c r="D2" s="53"/>
      <c r="E2" s="53" t="s">
        <v>111</v>
      </c>
      <c r="F2" s="53"/>
      <c r="G2" s="53" t="s">
        <v>112</v>
      </c>
      <c r="H2" s="53"/>
      <c r="I2" s="53" t="s">
        <v>75</v>
      </c>
      <c r="J2" s="53"/>
      <c r="K2" s="24" t="s">
        <v>59</v>
      </c>
      <c r="L2" s="53" t="s">
        <v>113</v>
      </c>
      <c r="M2" s="53"/>
      <c r="N2" s="53" t="s">
        <v>71</v>
      </c>
      <c r="O2" s="53"/>
      <c r="P2" s="53" t="s">
        <v>114</v>
      </c>
      <c r="Q2" s="53"/>
      <c r="R2" s="53" t="s">
        <v>115</v>
      </c>
      <c r="S2" s="53"/>
      <c r="T2" s="53"/>
      <c r="U2" s="53" t="s">
        <v>60</v>
      </c>
      <c r="V2" s="53" t="s">
        <v>116</v>
      </c>
      <c r="W2" s="53"/>
      <c r="X2" s="53" t="s">
        <v>490</v>
      </c>
      <c r="Y2" s="53" t="s">
        <v>61</v>
      </c>
      <c r="Z2" s="53" t="s">
        <v>62</v>
      </c>
      <c r="AA2" s="53" t="s">
        <v>63</v>
      </c>
      <c r="AB2" s="53" t="s">
        <v>64</v>
      </c>
      <c r="AC2" s="53" t="s">
        <v>65</v>
      </c>
      <c r="AD2" s="53" t="s">
        <v>66</v>
      </c>
      <c r="AE2" s="53" t="s">
        <v>67</v>
      </c>
      <c r="AF2" s="53" t="s">
        <v>68</v>
      </c>
      <c r="AG2" s="53" t="s">
        <v>69</v>
      </c>
      <c r="AH2" s="53" t="s">
        <v>655</v>
      </c>
      <c r="AI2" s="53"/>
    </row>
    <row r="3" spans="1:35" s="17" customFormat="1" x14ac:dyDescent="0.3">
      <c r="A3" s="17" t="s">
        <v>719</v>
      </c>
      <c r="B3" s="17" t="s">
        <v>717</v>
      </c>
      <c r="C3" s="17" t="s">
        <v>78</v>
      </c>
      <c r="D3" s="17" t="s">
        <v>79</v>
      </c>
      <c r="E3" s="17" t="s">
        <v>634</v>
      </c>
      <c r="F3" s="17" t="s">
        <v>631</v>
      </c>
      <c r="G3" s="17" t="s">
        <v>635</v>
      </c>
      <c r="H3" s="17" t="s">
        <v>632</v>
      </c>
      <c r="I3" s="17" t="s">
        <v>636</v>
      </c>
      <c r="J3" s="17" t="s">
        <v>649</v>
      </c>
      <c r="K3" s="17" t="s">
        <v>491</v>
      </c>
      <c r="L3" s="17" t="s">
        <v>678</v>
      </c>
      <c r="M3" s="17" t="s">
        <v>645</v>
      </c>
      <c r="N3" s="17" t="s">
        <v>88</v>
      </c>
      <c r="O3" s="17" t="s">
        <v>647</v>
      </c>
      <c r="P3" s="17" t="s">
        <v>646</v>
      </c>
      <c r="Q3" s="17" t="s">
        <v>648</v>
      </c>
      <c r="R3" s="17" t="s">
        <v>515</v>
      </c>
      <c r="S3" s="17" t="s">
        <v>650</v>
      </c>
      <c r="T3" s="17" t="s">
        <v>651</v>
      </c>
      <c r="U3" s="17" t="s">
        <v>679</v>
      </c>
      <c r="V3" s="17" t="s">
        <v>652</v>
      </c>
      <c r="W3" s="17" t="s">
        <v>633</v>
      </c>
      <c r="X3" s="17" t="s">
        <v>489</v>
      </c>
      <c r="Y3" s="17" t="s">
        <v>488</v>
      </c>
      <c r="Z3" s="17" t="s">
        <v>487</v>
      </c>
      <c r="AA3" s="17" t="s">
        <v>486</v>
      </c>
      <c r="AB3" s="17" t="s">
        <v>485</v>
      </c>
      <c r="AC3" s="17" t="s">
        <v>484</v>
      </c>
      <c r="AD3" s="17" t="s">
        <v>483</v>
      </c>
      <c r="AE3" s="17" t="s">
        <v>482</v>
      </c>
      <c r="AF3" s="17" t="s">
        <v>481</v>
      </c>
      <c r="AG3" s="17" t="s">
        <v>69</v>
      </c>
      <c r="AH3" s="17" t="s">
        <v>654</v>
      </c>
      <c r="AI3" s="17" t="s">
        <v>656</v>
      </c>
    </row>
    <row r="4" spans="1:35" ht="14.65" customHeight="1" x14ac:dyDescent="0.3">
      <c r="A4" s="10" t="s">
        <v>0</v>
      </c>
      <c r="B4" s="11" t="str">
        <f>VLOOKUP(PhysChem_Table[[#This Row],[Marker name]],BaseInfos_Table[],3,FALSE)</f>
        <v>1533-45-5</v>
      </c>
      <c r="C4" s="10" t="s">
        <v>70</v>
      </c>
      <c r="D4" s="10" t="s">
        <v>80</v>
      </c>
      <c r="E4" s="10">
        <v>349.8</v>
      </c>
      <c r="F4" s="10">
        <v>97.75</v>
      </c>
      <c r="G4" s="10" t="s">
        <v>84</v>
      </c>
      <c r="H4" s="10" t="s">
        <v>84</v>
      </c>
      <c r="I4" s="10">
        <v>1.3420000000000001</v>
      </c>
      <c r="J4" s="10">
        <v>20</v>
      </c>
      <c r="K4" s="10" t="s">
        <v>73</v>
      </c>
      <c r="L4" s="10">
        <f>1.71*10^-11</f>
        <v>1.7099999999999998E-11</v>
      </c>
      <c r="M4" s="10" t="s">
        <v>83</v>
      </c>
      <c r="N4" s="10">
        <v>5.4989999999999997</v>
      </c>
      <c r="O4" s="10" t="s">
        <v>83</v>
      </c>
      <c r="P4" s="10">
        <v>0.01</v>
      </c>
      <c r="Q4" s="10">
        <v>25</v>
      </c>
      <c r="R4" s="10" t="s">
        <v>55</v>
      </c>
      <c r="S4" s="10" t="s">
        <v>55</v>
      </c>
      <c r="T4" s="10" t="s">
        <v>55</v>
      </c>
      <c r="U4" s="10" t="s">
        <v>84</v>
      </c>
      <c r="V4" s="10">
        <v>282.60000000000002</v>
      </c>
      <c r="W4" s="10">
        <v>97.8</v>
      </c>
      <c r="X4" s="10" t="s">
        <v>72</v>
      </c>
      <c r="Y4" s="10" t="s">
        <v>86</v>
      </c>
      <c r="Z4" s="10" t="s">
        <v>89</v>
      </c>
      <c r="AA4" s="10" t="s">
        <v>90</v>
      </c>
      <c r="AB4" s="10" t="s">
        <v>55</v>
      </c>
      <c r="AC4" s="10" t="s">
        <v>55</v>
      </c>
      <c r="AD4" s="10" t="s">
        <v>55</v>
      </c>
      <c r="AE4" s="10">
        <v>8.6300000000000008</v>
      </c>
      <c r="AF4" s="10" t="s">
        <v>55</v>
      </c>
      <c r="AG4" s="10" t="s">
        <v>84</v>
      </c>
      <c r="AH4" s="12" t="s">
        <v>469</v>
      </c>
      <c r="AI4" s="12"/>
    </row>
    <row r="5" spans="1:35" ht="14.65" customHeight="1" x14ac:dyDescent="0.3">
      <c r="A5" s="10" t="s">
        <v>1</v>
      </c>
      <c r="B5" s="11" t="str">
        <f>VLOOKUP(PhysChem_Table[[#This Row],[Marker name]],BaseInfos_Table[],3,FALSE)</f>
        <v>7128-64-5</v>
      </c>
      <c r="C5" s="10" t="s">
        <v>70</v>
      </c>
      <c r="D5" s="10" t="s">
        <v>80</v>
      </c>
      <c r="E5" s="10">
        <v>200.6</v>
      </c>
      <c r="F5" s="10">
        <v>101.325</v>
      </c>
      <c r="G5" s="10" t="s">
        <v>84</v>
      </c>
      <c r="H5" s="10" t="s">
        <v>84</v>
      </c>
      <c r="I5" s="10">
        <v>1.272</v>
      </c>
      <c r="J5" s="10">
        <v>20</v>
      </c>
      <c r="K5" s="10" t="s">
        <v>87</v>
      </c>
      <c r="L5" s="10">
        <f>8.1*10^-10</f>
        <v>8.0999999999999999E-10</v>
      </c>
      <c r="M5" s="10">
        <v>25</v>
      </c>
      <c r="N5" s="10">
        <v>8.6</v>
      </c>
      <c r="O5" s="10">
        <v>25</v>
      </c>
      <c r="P5" s="10">
        <v>0.01</v>
      </c>
      <c r="Q5" s="10">
        <v>25</v>
      </c>
      <c r="R5" s="10" t="s">
        <v>55</v>
      </c>
      <c r="S5" s="10" t="s">
        <v>55</v>
      </c>
      <c r="T5" s="10" t="s">
        <v>55</v>
      </c>
      <c r="U5" s="10" t="s">
        <v>84</v>
      </c>
      <c r="V5" s="10" t="s">
        <v>84</v>
      </c>
      <c r="W5" s="10" t="s">
        <v>84</v>
      </c>
      <c r="X5" s="10" t="s">
        <v>72</v>
      </c>
      <c r="Y5" s="10" t="s">
        <v>86</v>
      </c>
      <c r="Z5" s="10" t="s">
        <v>89</v>
      </c>
      <c r="AA5" s="10" t="s">
        <v>90</v>
      </c>
      <c r="AB5" s="10" t="s">
        <v>84</v>
      </c>
      <c r="AC5" s="10" t="s">
        <v>55</v>
      </c>
      <c r="AD5" s="10" t="s">
        <v>91</v>
      </c>
      <c r="AE5" s="10" t="s">
        <v>55</v>
      </c>
      <c r="AF5" s="10" t="s">
        <v>84</v>
      </c>
      <c r="AG5" s="10" t="s">
        <v>84</v>
      </c>
      <c r="AH5" s="12" t="s">
        <v>470</v>
      </c>
      <c r="AI5" s="12"/>
    </row>
    <row r="6" spans="1:35" ht="16.5" customHeight="1" x14ac:dyDescent="0.3">
      <c r="A6" s="10" t="s">
        <v>686</v>
      </c>
      <c r="B6" s="11" t="str">
        <f>VLOOKUP(PhysChem_Table[[#This Row],[Marker name]],BaseInfos_Table[],3,FALSE)</f>
        <v>1306-38-3</v>
      </c>
      <c r="C6" s="10" t="s">
        <v>247</v>
      </c>
      <c r="D6" s="10" t="s">
        <v>81</v>
      </c>
      <c r="E6" s="10">
        <v>400</v>
      </c>
      <c r="F6" s="10" t="s">
        <v>83</v>
      </c>
      <c r="G6" s="10">
        <v>400</v>
      </c>
      <c r="H6" s="10">
        <v>101.3</v>
      </c>
      <c r="I6" s="10">
        <v>7.2</v>
      </c>
      <c r="J6" s="10">
        <v>20.3</v>
      </c>
      <c r="K6" s="10" t="s">
        <v>74</v>
      </c>
      <c r="L6" s="10" t="s">
        <v>84</v>
      </c>
      <c r="M6" s="10" t="s">
        <v>84</v>
      </c>
      <c r="N6" s="10" t="s">
        <v>84</v>
      </c>
      <c r="O6" s="10" t="s">
        <v>84</v>
      </c>
      <c r="P6" s="10">
        <v>0.01</v>
      </c>
      <c r="Q6" s="10">
        <v>20</v>
      </c>
      <c r="R6" s="10" t="s">
        <v>55</v>
      </c>
      <c r="S6" s="10" t="s">
        <v>55</v>
      </c>
      <c r="T6" s="10" t="s">
        <v>55</v>
      </c>
      <c r="U6" s="10" t="s">
        <v>84</v>
      </c>
      <c r="V6" s="10" t="s">
        <v>84</v>
      </c>
      <c r="W6" s="10" t="s">
        <v>84</v>
      </c>
      <c r="X6" s="10" t="s">
        <v>72</v>
      </c>
      <c r="Y6" s="10" t="s">
        <v>86</v>
      </c>
      <c r="Z6" s="10" t="s">
        <v>89</v>
      </c>
      <c r="AA6" s="10" t="s">
        <v>90</v>
      </c>
      <c r="AB6" s="10" t="s">
        <v>84</v>
      </c>
      <c r="AC6" s="10" t="s">
        <v>55</v>
      </c>
      <c r="AD6" s="10" t="s">
        <v>55</v>
      </c>
      <c r="AE6" s="10" t="s">
        <v>55</v>
      </c>
      <c r="AF6" s="10" t="s">
        <v>84</v>
      </c>
      <c r="AG6" s="10" t="s">
        <v>84</v>
      </c>
      <c r="AH6" s="12" t="s">
        <v>471</v>
      </c>
      <c r="AI6" s="12"/>
    </row>
    <row r="7" spans="1:35" x14ac:dyDescent="0.3">
      <c r="A7" s="10" t="s">
        <v>687</v>
      </c>
      <c r="B7" s="11" t="str">
        <f>VLOOKUP(PhysChem_Table[[#This Row],[Marker name]],BaseInfos_Table[],3,FALSE)</f>
        <v>1314-36-9</v>
      </c>
      <c r="C7" s="10" t="s">
        <v>247</v>
      </c>
      <c r="D7" s="10" t="s">
        <v>81</v>
      </c>
      <c r="E7" s="10">
        <v>400</v>
      </c>
      <c r="F7" s="10" t="s">
        <v>83</v>
      </c>
      <c r="G7" s="10">
        <v>400</v>
      </c>
      <c r="H7" s="10" t="s">
        <v>83</v>
      </c>
      <c r="I7" s="10">
        <v>4.8499999999999996</v>
      </c>
      <c r="J7" s="10">
        <v>20.3</v>
      </c>
      <c r="K7" s="10" t="s">
        <v>76</v>
      </c>
      <c r="L7" s="10" t="s">
        <v>84</v>
      </c>
      <c r="M7" s="10" t="s">
        <v>84</v>
      </c>
      <c r="N7" s="10" t="s">
        <v>84</v>
      </c>
      <c r="O7" s="10" t="s">
        <v>84</v>
      </c>
      <c r="P7" s="10">
        <v>6.9999999999999999E-4</v>
      </c>
      <c r="Q7" s="10">
        <v>20</v>
      </c>
      <c r="R7" s="10" t="s">
        <v>55</v>
      </c>
      <c r="S7" s="10" t="s">
        <v>55</v>
      </c>
      <c r="T7" s="10" t="s">
        <v>55</v>
      </c>
      <c r="U7" s="10" t="s">
        <v>84</v>
      </c>
      <c r="V7" s="10" t="s">
        <v>84</v>
      </c>
      <c r="W7" s="10" t="s">
        <v>84</v>
      </c>
      <c r="X7" s="10" t="s">
        <v>72</v>
      </c>
      <c r="Y7" s="10" t="s">
        <v>86</v>
      </c>
      <c r="Z7" s="10" t="s">
        <v>89</v>
      </c>
      <c r="AA7" s="10" t="s">
        <v>90</v>
      </c>
      <c r="AB7" s="10" t="s">
        <v>84</v>
      </c>
      <c r="AC7" s="10" t="s">
        <v>55</v>
      </c>
      <c r="AD7" s="10" t="s">
        <v>55</v>
      </c>
      <c r="AE7" s="10" t="s">
        <v>55</v>
      </c>
      <c r="AF7" s="10" t="s">
        <v>84</v>
      </c>
      <c r="AG7" s="10" t="s">
        <v>84</v>
      </c>
      <c r="AH7" s="12" t="s">
        <v>472</v>
      </c>
      <c r="AI7" s="12"/>
    </row>
    <row r="8" spans="1:35" x14ac:dyDescent="0.3">
      <c r="A8" s="10" t="s">
        <v>688</v>
      </c>
      <c r="B8" s="11" t="str">
        <f>VLOOKUP(PhysChem_Table[[#This Row],[Marker name]],BaseInfos_Table[],3,FALSE)</f>
        <v>1313-97-9</v>
      </c>
      <c r="C8" s="10" t="s">
        <v>247</v>
      </c>
      <c r="D8" s="10" t="s">
        <v>82</v>
      </c>
      <c r="E8" s="10">
        <v>2233</v>
      </c>
      <c r="F8" s="10" t="s">
        <v>83</v>
      </c>
      <c r="G8" s="10">
        <v>3760</v>
      </c>
      <c r="H8" s="10" t="s">
        <v>83</v>
      </c>
      <c r="I8" s="10">
        <v>7.24</v>
      </c>
      <c r="J8" s="10" t="s">
        <v>83</v>
      </c>
      <c r="K8" s="10" t="s">
        <v>85</v>
      </c>
      <c r="L8" s="10" t="s">
        <v>84</v>
      </c>
      <c r="M8" s="10" t="s">
        <v>84</v>
      </c>
      <c r="N8" s="10" t="s">
        <v>84</v>
      </c>
      <c r="O8" s="10" t="s">
        <v>84</v>
      </c>
      <c r="P8" s="10">
        <v>7.3999999999999999E-4</v>
      </c>
      <c r="Q8" s="10">
        <v>20</v>
      </c>
      <c r="R8" s="10" t="s">
        <v>55</v>
      </c>
      <c r="S8" s="10" t="s">
        <v>55</v>
      </c>
      <c r="T8" s="10" t="s">
        <v>55</v>
      </c>
      <c r="U8" s="10" t="s">
        <v>84</v>
      </c>
      <c r="V8" s="10" t="s">
        <v>84</v>
      </c>
      <c r="W8" s="10" t="s">
        <v>84</v>
      </c>
      <c r="X8" s="10" t="s">
        <v>72</v>
      </c>
      <c r="Y8" s="10" t="s">
        <v>86</v>
      </c>
      <c r="Z8" s="10" t="s">
        <v>89</v>
      </c>
      <c r="AA8" s="10" t="s">
        <v>90</v>
      </c>
      <c r="AB8" s="10" t="s">
        <v>84</v>
      </c>
      <c r="AC8" s="10" t="s">
        <v>55</v>
      </c>
      <c r="AD8" s="10" t="s">
        <v>55</v>
      </c>
      <c r="AE8" s="10" t="s">
        <v>55</v>
      </c>
      <c r="AF8" s="10" t="s">
        <v>84</v>
      </c>
      <c r="AG8" s="10" t="s">
        <v>84</v>
      </c>
      <c r="AH8" s="12" t="s">
        <v>473</v>
      </c>
      <c r="AI8" s="12"/>
    </row>
    <row r="9" spans="1:35" ht="16.5" customHeight="1" x14ac:dyDescent="0.3">
      <c r="A9" s="10" t="s">
        <v>689</v>
      </c>
      <c r="B9" s="11" t="str">
        <f>VLOOKUP(PhysChem_Table[[#This Row],[Marker name]],BaseInfos_Table[],3,FALSE)</f>
        <v>12064-62-9</v>
      </c>
      <c r="C9" s="20" t="s">
        <v>247</v>
      </c>
      <c r="D9" s="10" t="s">
        <v>81</v>
      </c>
      <c r="E9" s="10">
        <v>600</v>
      </c>
      <c r="F9" s="10">
        <v>101.325</v>
      </c>
      <c r="G9" s="10">
        <v>3900</v>
      </c>
      <c r="H9" s="10" t="s">
        <v>83</v>
      </c>
      <c r="I9" s="10">
        <v>7.93</v>
      </c>
      <c r="J9" s="10">
        <v>19.899999999999999</v>
      </c>
      <c r="K9" s="10" t="s">
        <v>92</v>
      </c>
      <c r="L9" s="10" t="s">
        <v>84</v>
      </c>
      <c r="M9" s="10" t="s">
        <v>84</v>
      </c>
      <c r="N9" s="10" t="s">
        <v>84</v>
      </c>
      <c r="O9" s="10" t="s">
        <v>84</v>
      </c>
      <c r="P9" s="10">
        <v>5.0000000000000001E-4</v>
      </c>
      <c r="Q9" s="10">
        <v>20</v>
      </c>
      <c r="R9" s="10" t="s">
        <v>55</v>
      </c>
      <c r="S9" s="10" t="s">
        <v>55</v>
      </c>
      <c r="T9" s="10" t="s">
        <v>55</v>
      </c>
      <c r="U9" s="10" t="s">
        <v>84</v>
      </c>
      <c r="V9" s="10" t="s">
        <v>84</v>
      </c>
      <c r="W9" s="10" t="s">
        <v>84</v>
      </c>
      <c r="X9" s="10" t="s">
        <v>72</v>
      </c>
      <c r="Y9" s="10" t="s">
        <v>86</v>
      </c>
      <c r="Z9" s="10" t="s">
        <v>84</v>
      </c>
      <c r="AA9" s="10" t="s">
        <v>90</v>
      </c>
      <c r="AB9" s="10" t="s">
        <v>55</v>
      </c>
      <c r="AC9" s="10" t="s">
        <v>55</v>
      </c>
      <c r="AD9" s="10" t="s">
        <v>55</v>
      </c>
      <c r="AE9" s="10" t="s">
        <v>55</v>
      </c>
      <c r="AF9" s="10" t="s">
        <v>55</v>
      </c>
      <c r="AG9" s="10" t="s">
        <v>55</v>
      </c>
      <c r="AH9" s="12" t="s">
        <v>474</v>
      </c>
      <c r="AI9" s="12"/>
    </row>
    <row r="10" spans="1:35" ht="16.5" customHeight="1" x14ac:dyDescent="0.3">
      <c r="A10" s="10" t="s">
        <v>690</v>
      </c>
      <c r="B10" s="11" t="str">
        <f>VLOOKUP(PhysChem_Table[[#This Row],[Marker name]],BaseInfos_Table[],3,FALSE)</f>
        <v>1308-87-8</v>
      </c>
      <c r="C10" s="20" t="s">
        <v>247</v>
      </c>
      <c r="D10" s="10" t="s">
        <v>93</v>
      </c>
      <c r="E10" s="10">
        <v>600</v>
      </c>
      <c r="F10" s="10">
        <v>101.325</v>
      </c>
      <c r="G10" s="10" t="s">
        <v>84</v>
      </c>
      <c r="H10" s="10" t="s">
        <v>84</v>
      </c>
      <c r="I10" s="10">
        <v>8.1210000000000004</v>
      </c>
      <c r="J10" s="10">
        <v>21.6</v>
      </c>
      <c r="K10" s="10" t="s">
        <v>94</v>
      </c>
      <c r="L10" s="10" t="s">
        <v>84</v>
      </c>
      <c r="M10" s="10" t="s">
        <v>84</v>
      </c>
      <c r="N10" s="10" t="s">
        <v>84</v>
      </c>
      <c r="O10" s="10" t="s">
        <v>84</v>
      </c>
      <c r="P10" s="10">
        <v>1.6000000000000001E-4</v>
      </c>
      <c r="Q10" s="10">
        <v>20</v>
      </c>
      <c r="R10" s="10" t="s">
        <v>55</v>
      </c>
      <c r="S10" s="10" t="s">
        <v>55</v>
      </c>
      <c r="T10" s="10" t="s">
        <v>55</v>
      </c>
      <c r="U10" s="10" t="s">
        <v>84</v>
      </c>
      <c r="V10" s="10" t="s">
        <v>84</v>
      </c>
      <c r="W10" s="10" t="s">
        <v>84</v>
      </c>
      <c r="X10" s="10" t="s">
        <v>72</v>
      </c>
      <c r="Y10" s="10" t="s">
        <v>86</v>
      </c>
      <c r="Z10" s="10" t="s">
        <v>84</v>
      </c>
      <c r="AA10" s="10" t="s">
        <v>90</v>
      </c>
      <c r="AB10" s="10" t="s">
        <v>55</v>
      </c>
      <c r="AC10" s="10" t="s">
        <v>55</v>
      </c>
      <c r="AD10" s="10" t="s">
        <v>55</v>
      </c>
      <c r="AE10" s="10" t="s">
        <v>55</v>
      </c>
      <c r="AF10" s="10" t="s">
        <v>55</v>
      </c>
      <c r="AG10" s="10" t="s">
        <v>55</v>
      </c>
      <c r="AH10" s="12" t="s">
        <v>475</v>
      </c>
      <c r="AI10" s="12"/>
    </row>
    <row r="11" spans="1:35" ht="14.65" customHeight="1" x14ac:dyDescent="0.3">
      <c r="A11" s="10" t="s">
        <v>11</v>
      </c>
      <c r="B11" s="11" t="str">
        <f>VLOOKUP(PhysChem_Table[[#This Row],[Marker name]],BaseInfos_Table[],3,FALSE)</f>
        <v>989-38-8</v>
      </c>
      <c r="C11" s="20" t="s">
        <v>247</v>
      </c>
      <c r="D11" s="10" t="s">
        <v>95</v>
      </c>
      <c r="E11" s="10">
        <v>229.4</v>
      </c>
      <c r="F11" s="10">
        <v>101.325</v>
      </c>
      <c r="G11" s="10" t="s">
        <v>84</v>
      </c>
      <c r="H11" s="10" t="s">
        <v>84</v>
      </c>
      <c r="I11" s="10">
        <v>1.2969999999999999</v>
      </c>
      <c r="J11" s="10">
        <v>20</v>
      </c>
      <c r="K11" s="10" t="s">
        <v>96</v>
      </c>
      <c r="L11" s="10">
        <f>2.4*10^-11</f>
        <v>2.3999999999999998E-11</v>
      </c>
      <c r="M11" s="10">
        <v>25</v>
      </c>
      <c r="N11" s="10">
        <v>0.1</v>
      </c>
      <c r="O11" s="10">
        <v>24</v>
      </c>
      <c r="P11" s="10">
        <v>77.900000000000006</v>
      </c>
      <c r="Q11" s="10">
        <v>20</v>
      </c>
      <c r="R11" s="10" t="s">
        <v>55</v>
      </c>
      <c r="S11" s="10" t="s">
        <v>55</v>
      </c>
      <c r="T11" s="10" t="s">
        <v>55</v>
      </c>
      <c r="U11" s="10" t="s">
        <v>84</v>
      </c>
      <c r="V11" s="10" t="s">
        <v>84</v>
      </c>
      <c r="W11" s="10" t="s">
        <v>84</v>
      </c>
      <c r="X11" s="10" t="s">
        <v>72</v>
      </c>
      <c r="Y11" s="10" t="s">
        <v>86</v>
      </c>
      <c r="Z11" s="10" t="s">
        <v>84</v>
      </c>
      <c r="AA11" s="10" t="s">
        <v>90</v>
      </c>
      <c r="AB11" s="10" t="s">
        <v>55</v>
      </c>
      <c r="AC11" s="10" t="s">
        <v>55</v>
      </c>
      <c r="AD11" s="10" t="s">
        <v>55</v>
      </c>
      <c r="AE11" s="10" t="s">
        <v>55</v>
      </c>
      <c r="AF11" s="10" t="s">
        <v>55</v>
      </c>
      <c r="AG11" s="10" t="s">
        <v>55</v>
      </c>
      <c r="AH11" s="12" t="s">
        <v>476</v>
      </c>
      <c r="AI11" s="12"/>
    </row>
    <row r="12" spans="1:35" x14ac:dyDescent="0.3">
      <c r="A12" s="10" t="s">
        <v>12</v>
      </c>
      <c r="B12" s="11" t="str">
        <f>VLOOKUP(PhysChem_Table[[#This Row],[Marker name]],BaseInfos_Table[],3,FALSE)</f>
        <v>n.a.</v>
      </c>
      <c r="C12" s="11" t="s">
        <v>55</v>
      </c>
      <c r="D12" s="11" t="s">
        <v>55</v>
      </c>
      <c r="E12" s="11" t="s">
        <v>55</v>
      </c>
      <c r="F12" s="11" t="s">
        <v>55</v>
      </c>
      <c r="G12" s="11" t="s">
        <v>55</v>
      </c>
      <c r="H12" s="11" t="s">
        <v>55</v>
      </c>
      <c r="I12" s="11" t="s">
        <v>55</v>
      </c>
      <c r="J12" s="11" t="s">
        <v>55</v>
      </c>
      <c r="K12" s="11" t="s">
        <v>55</v>
      </c>
      <c r="L12" s="11" t="s">
        <v>55</v>
      </c>
      <c r="M12" s="11" t="s">
        <v>55</v>
      </c>
      <c r="N12" s="11" t="s">
        <v>55</v>
      </c>
      <c r="O12" s="11" t="s">
        <v>55</v>
      </c>
      <c r="P12" s="11" t="s">
        <v>55</v>
      </c>
      <c r="Q12" s="11" t="s">
        <v>55</v>
      </c>
      <c r="R12" s="11" t="s">
        <v>55</v>
      </c>
      <c r="S12" s="11" t="s">
        <v>55</v>
      </c>
      <c r="T12" s="11" t="s">
        <v>55</v>
      </c>
      <c r="U12" s="11" t="s">
        <v>55</v>
      </c>
      <c r="V12" s="11" t="s">
        <v>55</v>
      </c>
      <c r="W12" s="11" t="s">
        <v>55</v>
      </c>
      <c r="X12" s="11" t="s">
        <v>55</v>
      </c>
      <c r="Y12" s="11" t="s">
        <v>55</v>
      </c>
      <c r="Z12" s="11" t="s">
        <v>55</v>
      </c>
      <c r="AA12" s="11" t="s">
        <v>55</v>
      </c>
      <c r="AB12" s="11" t="s">
        <v>55</v>
      </c>
      <c r="AC12" s="11" t="s">
        <v>55</v>
      </c>
      <c r="AD12" s="11" t="s">
        <v>55</v>
      </c>
      <c r="AE12" s="11" t="s">
        <v>55</v>
      </c>
      <c r="AF12" s="11" t="s">
        <v>55</v>
      </c>
      <c r="AG12" s="11" t="s">
        <v>55</v>
      </c>
      <c r="AH12" s="11" t="s">
        <v>55</v>
      </c>
      <c r="AI12" s="11"/>
    </row>
    <row r="13" spans="1:35" x14ac:dyDescent="0.3">
      <c r="A13" s="10" t="s">
        <v>19</v>
      </c>
      <c r="B13" s="11" t="str">
        <f>VLOOKUP(PhysChem_Table[[#This Row],[Marker name]],BaseInfos_Table[],3,FALSE)</f>
        <v>n.a.</v>
      </c>
      <c r="C13" s="11" t="s">
        <v>55</v>
      </c>
      <c r="D13" s="11" t="s">
        <v>55</v>
      </c>
      <c r="E13" s="11" t="s">
        <v>55</v>
      </c>
      <c r="F13" s="11" t="s">
        <v>55</v>
      </c>
      <c r="G13" s="11" t="s">
        <v>55</v>
      </c>
      <c r="H13" s="11" t="s">
        <v>55</v>
      </c>
      <c r="I13" s="11" t="s">
        <v>55</v>
      </c>
      <c r="J13" s="11" t="s">
        <v>55</v>
      </c>
      <c r="K13" s="11" t="s">
        <v>55</v>
      </c>
      <c r="L13" s="11" t="s">
        <v>55</v>
      </c>
      <c r="M13" s="11" t="s">
        <v>55</v>
      </c>
      <c r="N13" s="11" t="s">
        <v>55</v>
      </c>
      <c r="O13" s="11" t="s">
        <v>55</v>
      </c>
      <c r="P13" s="11" t="s">
        <v>55</v>
      </c>
      <c r="Q13" s="11" t="s">
        <v>55</v>
      </c>
      <c r="R13" s="11" t="s">
        <v>55</v>
      </c>
      <c r="S13" s="11" t="s">
        <v>55</v>
      </c>
      <c r="T13" s="11" t="s">
        <v>55</v>
      </c>
      <c r="U13" s="11" t="s">
        <v>55</v>
      </c>
      <c r="V13" s="11" t="s">
        <v>55</v>
      </c>
      <c r="W13" s="11" t="s">
        <v>55</v>
      </c>
      <c r="X13" s="11" t="s">
        <v>55</v>
      </c>
      <c r="Y13" s="11" t="s">
        <v>55</v>
      </c>
      <c r="Z13" s="11" t="s">
        <v>55</v>
      </c>
      <c r="AA13" s="11" t="s">
        <v>55</v>
      </c>
      <c r="AB13" s="11" t="s">
        <v>55</v>
      </c>
      <c r="AC13" s="11" t="s">
        <v>55</v>
      </c>
      <c r="AD13" s="11" t="s">
        <v>55</v>
      </c>
      <c r="AE13" s="11" t="s">
        <v>55</v>
      </c>
      <c r="AF13" s="11" t="s">
        <v>55</v>
      </c>
      <c r="AG13" s="11" t="s">
        <v>55</v>
      </c>
      <c r="AH13" s="11" t="s">
        <v>55</v>
      </c>
      <c r="AI13" s="11"/>
    </row>
    <row r="14" spans="1:35" x14ac:dyDescent="0.3">
      <c r="A14" s="10" t="s">
        <v>21</v>
      </c>
      <c r="B14" s="11" t="str">
        <f>VLOOKUP(PhysChem_Table[[#This Row],[Marker name]],BaseInfos_Table[],3,FALSE)</f>
        <v>n.a.</v>
      </c>
      <c r="C14" s="11" t="s">
        <v>55</v>
      </c>
      <c r="D14" s="11" t="s">
        <v>55</v>
      </c>
      <c r="E14" s="11" t="s">
        <v>55</v>
      </c>
      <c r="F14" s="11" t="s">
        <v>55</v>
      </c>
      <c r="G14" s="11" t="s">
        <v>55</v>
      </c>
      <c r="H14" s="11" t="s">
        <v>55</v>
      </c>
      <c r="I14" s="11" t="s">
        <v>55</v>
      </c>
      <c r="J14" s="11" t="s">
        <v>55</v>
      </c>
      <c r="K14" s="11" t="s">
        <v>55</v>
      </c>
      <c r="L14" s="11" t="s">
        <v>55</v>
      </c>
      <c r="M14" s="11" t="s">
        <v>55</v>
      </c>
      <c r="N14" s="11" t="s">
        <v>55</v>
      </c>
      <c r="O14" s="11" t="s">
        <v>55</v>
      </c>
      <c r="P14" s="11" t="s">
        <v>55</v>
      </c>
      <c r="Q14" s="11" t="s">
        <v>55</v>
      </c>
      <c r="R14" s="11" t="s">
        <v>55</v>
      </c>
      <c r="S14" s="11" t="s">
        <v>55</v>
      </c>
      <c r="T14" s="11" t="s">
        <v>55</v>
      </c>
      <c r="U14" s="11" t="s">
        <v>55</v>
      </c>
      <c r="V14" s="11" t="s">
        <v>55</v>
      </c>
      <c r="W14" s="11" t="s">
        <v>55</v>
      </c>
      <c r="X14" s="11" t="s">
        <v>55</v>
      </c>
      <c r="Y14" s="11" t="s">
        <v>55</v>
      </c>
      <c r="Z14" s="11" t="s">
        <v>55</v>
      </c>
      <c r="AA14" s="11" t="s">
        <v>55</v>
      </c>
      <c r="AB14" s="11" t="s">
        <v>55</v>
      </c>
      <c r="AC14" s="11" t="s">
        <v>55</v>
      </c>
      <c r="AD14" s="11" t="s">
        <v>55</v>
      </c>
      <c r="AE14" s="11" t="s">
        <v>55</v>
      </c>
      <c r="AF14" s="11" t="s">
        <v>55</v>
      </c>
      <c r="AG14" s="11" t="s">
        <v>55</v>
      </c>
      <c r="AH14" s="11" t="s">
        <v>55</v>
      </c>
      <c r="AI14" s="11"/>
    </row>
    <row r="15" spans="1:35" x14ac:dyDescent="0.3">
      <c r="A15" s="10" t="s">
        <v>20</v>
      </c>
      <c r="B15" s="11" t="str">
        <f>VLOOKUP(PhysChem_Table[[#This Row],[Marker name]],BaseInfos_Table[],3,FALSE)</f>
        <v>n.a.</v>
      </c>
      <c r="C15" s="11" t="s">
        <v>55</v>
      </c>
      <c r="D15" s="11" t="s">
        <v>55</v>
      </c>
      <c r="E15" s="11" t="s">
        <v>55</v>
      </c>
      <c r="F15" s="11" t="s">
        <v>55</v>
      </c>
      <c r="G15" s="11" t="s">
        <v>55</v>
      </c>
      <c r="H15" s="11" t="s">
        <v>55</v>
      </c>
      <c r="I15" s="11" t="s">
        <v>55</v>
      </c>
      <c r="J15" s="11" t="s">
        <v>55</v>
      </c>
      <c r="K15" s="11" t="s">
        <v>55</v>
      </c>
      <c r="L15" s="11" t="s">
        <v>55</v>
      </c>
      <c r="M15" s="11" t="s">
        <v>55</v>
      </c>
      <c r="N15" s="11" t="s">
        <v>55</v>
      </c>
      <c r="O15" s="11" t="s">
        <v>55</v>
      </c>
      <c r="P15" s="11" t="s">
        <v>55</v>
      </c>
      <c r="Q15" s="11" t="s">
        <v>55</v>
      </c>
      <c r="R15" s="11" t="s">
        <v>55</v>
      </c>
      <c r="S15" s="11" t="s">
        <v>55</v>
      </c>
      <c r="T15" s="11" t="s">
        <v>55</v>
      </c>
      <c r="U15" s="11" t="s">
        <v>55</v>
      </c>
      <c r="V15" s="11" t="s">
        <v>55</v>
      </c>
      <c r="W15" s="11" t="s">
        <v>55</v>
      </c>
      <c r="X15" s="11" t="s">
        <v>55</v>
      </c>
      <c r="Y15" s="11" t="s">
        <v>55</v>
      </c>
      <c r="Z15" s="11" t="s">
        <v>55</v>
      </c>
      <c r="AA15" s="11" t="s">
        <v>55</v>
      </c>
      <c r="AB15" s="11" t="s">
        <v>55</v>
      </c>
      <c r="AC15" s="11" t="s">
        <v>55</v>
      </c>
      <c r="AD15" s="11" t="s">
        <v>55</v>
      </c>
      <c r="AE15" s="11" t="s">
        <v>55</v>
      </c>
      <c r="AF15" s="11" t="s">
        <v>55</v>
      </c>
      <c r="AG15" s="11" t="s">
        <v>55</v>
      </c>
      <c r="AH15" s="11" t="s">
        <v>55</v>
      </c>
      <c r="AI15" s="11"/>
    </row>
    <row r="16" spans="1:35" x14ac:dyDescent="0.3">
      <c r="A16" s="10" t="s">
        <v>49</v>
      </c>
      <c r="B16" s="11" t="str">
        <f>VLOOKUP(PhysChem_Table[[#This Row],[Marker name]],BaseInfos_Table[],3,FALSE)</f>
        <v>n.a.</v>
      </c>
      <c r="C16" s="11" t="s">
        <v>55</v>
      </c>
      <c r="D16" s="11" t="s">
        <v>55</v>
      </c>
      <c r="E16" s="11" t="s">
        <v>55</v>
      </c>
      <c r="F16" s="11" t="s">
        <v>55</v>
      </c>
      <c r="G16" s="11" t="s">
        <v>55</v>
      </c>
      <c r="H16" s="11" t="s">
        <v>55</v>
      </c>
      <c r="I16" s="11" t="s">
        <v>55</v>
      </c>
      <c r="J16" s="11" t="s">
        <v>55</v>
      </c>
      <c r="K16" s="11" t="s">
        <v>55</v>
      </c>
      <c r="L16" s="11" t="s">
        <v>55</v>
      </c>
      <c r="M16" s="11" t="s">
        <v>55</v>
      </c>
      <c r="N16" s="11" t="s">
        <v>55</v>
      </c>
      <c r="O16" s="11" t="s">
        <v>55</v>
      </c>
      <c r="P16" s="11" t="s">
        <v>55</v>
      </c>
      <c r="Q16" s="11" t="s">
        <v>55</v>
      </c>
      <c r="R16" s="11" t="s">
        <v>55</v>
      </c>
      <c r="S16" s="11" t="s">
        <v>55</v>
      </c>
      <c r="T16" s="11" t="s">
        <v>55</v>
      </c>
      <c r="U16" s="11" t="s">
        <v>55</v>
      </c>
      <c r="V16" s="11" t="s">
        <v>55</v>
      </c>
      <c r="W16" s="11" t="s">
        <v>55</v>
      </c>
      <c r="X16" s="11" t="s">
        <v>55</v>
      </c>
      <c r="Y16" s="11" t="s">
        <v>55</v>
      </c>
      <c r="Z16" s="11" t="s">
        <v>55</v>
      </c>
      <c r="AA16" s="11" t="s">
        <v>55</v>
      </c>
      <c r="AB16" s="11" t="s">
        <v>55</v>
      </c>
      <c r="AC16" s="11" t="s">
        <v>55</v>
      </c>
      <c r="AD16" s="11" t="s">
        <v>55</v>
      </c>
      <c r="AE16" s="11" t="s">
        <v>55</v>
      </c>
      <c r="AF16" s="11" t="s">
        <v>55</v>
      </c>
      <c r="AG16" s="11" t="s">
        <v>55</v>
      </c>
      <c r="AH16" s="11" t="s">
        <v>55</v>
      </c>
      <c r="AI16" s="11"/>
    </row>
    <row r="17" spans="1:35" x14ac:dyDescent="0.3">
      <c r="A17" s="10" t="s">
        <v>56</v>
      </c>
      <c r="B17" s="11" t="str">
        <f>VLOOKUP(PhysChem_Table[[#This Row],[Marker name]],BaseInfos_Table[],3,FALSE)</f>
        <v>1047-16-1</v>
      </c>
      <c r="C17" s="10" t="s">
        <v>225</v>
      </c>
      <c r="D17" s="10" t="s">
        <v>224</v>
      </c>
      <c r="E17" s="10">
        <v>500</v>
      </c>
      <c r="F17" s="10" t="s">
        <v>83</v>
      </c>
      <c r="G17" s="10" t="s">
        <v>84</v>
      </c>
      <c r="H17" s="10" t="s">
        <v>84</v>
      </c>
      <c r="I17" s="10">
        <v>1.498</v>
      </c>
      <c r="J17" s="10">
        <v>20</v>
      </c>
      <c r="K17" s="10" t="s">
        <v>228</v>
      </c>
      <c r="L17" s="10" t="s">
        <v>84</v>
      </c>
      <c r="M17" s="10" t="s">
        <v>84</v>
      </c>
      <c r="N17" s="10">
        <v>2.2000000000000002</v>
      </c>
      <c r="O17" s="10">
        <v>24</v>
      </c>
      <c r="P17" s="10">
        <v>1E-4</v>
      </c>
      <c r="Q17" s="10">
        <v>24</v>
      </c>
      <c r="R17" s="10" t="s">
        <v>55</v>
      </c>
      <c r="S17" s="10" t="s">
        <v>55</v>
      </c>
      <c r="T17" s="10" t="s">
        <v>55</v>
      </c>
      <c r="U17" s="10" t="s">
        <v>84</v>
      </c>
      <c r="V17" s="10" t="s">
        <v>84</v>
      </c>
      <c r="W17" s="10" t="s">
        <v>84</v>
      </c>
      <c r="X17" s="10" t="s">
        <v>72</v>
      </c>
      <c r="Y17" s="10" t="s">
        <v>86</v>
      </c>
      <c r="Z17" s="10" t="s">
        <v>84</v>
      </c>
      <c r="AA17" s="10" t="s">
        <v>84</v>
      </c>
      <c r="AB17" s="10" t="s">
        <v>25</v>
      </c>
      <c r="AC17" s="10" t="s">
        <v>55</v>
      </c>
      <c r="AD17" s="10" t="s">
        <v>55</v>
      </c>
      <c r="AE17" s="10" t="s">
        <v>55</v>
      </c>
      <c r="AF17" s="10" t="s">
        <v>84</v>
      </c>
      <c r="AG17" s="10" t="s">
        <v>84</v>
      </c>
      <c r="AH17" s="12" t="s">
        <v>477</v>
      </c>
      <c r="AI17" s="12"/>
    </row>
    <row r="18" spans="1:35" x14ac:dyDescent="0.3">
      <c r="A18" s="10" t="s">
        <v>54</v>
      </c>
      <c r="B18" s="11" t="str">
        <f>VLOOKUP(PhysChem_Table[[#This Row],[Marker name]],BaseInfos_Table[],3,FALSE)</f>
        <v>128-69-8</v>
      </c>
      <c r="C18" s="10" t="s">
        <v>226</v>
      </c>
      <c r="D18" s="10" t="s">
        <v>95</v>
      </c>
      <c r="E18" s="10">
        <v>500</v>
      </c>
      <c r="F18" s="10" t="s">
        <v>83</v>
      </c>
      <c r="G18" s="10" t="s">
        <v>84</v>
      </c>
      <c r="H18" s="10" t="s">
        <v>84</v>
      </c>
      <c r="I18" s="10">
        <v>1.6839999999999999</v>
      </c>
      <c r="J18" s="10">
        <v>20</v>
      </c>
      <c r="K18" s="10" t="s">
        <v>227</v>
      </c>
      <c r="L18" s="10" t="s">
        <v>84</v>
      </c>
      <c r="M18" s="10" t="s">
        <v>84</v>
      </c>
      <c r="N18" s="10">
        <v>1.3</v>
      </c>
      <c r="O18" s="10">
        <v>25</v>
      </c>
      <c r="P18" s="10">
        <v>5.0000000000000004E-6</v>
      </c>
      <c r="Q18" s="10">
        <v>25</v>
      </c>
      <c r="R18" s="10" t="s">
        <v>55</v>
      </c>
      <c r="S18" s="10" t="s">
        <v>55</v>
      </c>
      <c r="T18" s="10" t="s">
        <v>55</v>
      </c>
      <c r="U18" s="10" t="s">
        <v>84</v>
      </c>
      <c r="V18" s="10" t="s">
        <v>84</v>
      </c>
      <c r="W18" s="10" t="s">
        <v>84</v>
      </c>
      <c r="X18" s="10" t="s">
        <v>72</v>
      </c>
      <c r="Y18" s="10" t="s">
        <v>86</v>
      </c>
      <c r="Z18" s="10" t="s">
        <v>89</v>
      </c>
      <c r="AA18" s="10" t="s">
        <v>90</v>
      </c>
      <c r="AB18" s="10" t="s">
        <v>84</v>
      </c>
      <c r="AC18" s="10" t="s">
        <v>55</v>
      </c>
      <c r="AD18" s="10" t="s">
        <v>91</v>
      </c>
      <c r="AE18" s="10" t="s">
        <v>55</v>
      </c>
      <c r="AF18" s="10" t="s">
        <v>84</v>
      </c>
      <c r="AG18" s="10" t="s">
        <v>84</v>
      </c>
      <c r="AH18" s="12" t="s">
        <v>478</v>
      </c>
      <c r="AI18" s="12"/>
    </row>
    <row r="19" spans="1:35" x14ac:dyDescent="0.3">
      <c r="A19" s="10" t="s">
        <v>373</v>
      </c>
      <c r="B19" s="11" t="str">
        <f>VLOOKUP(PhysChem_Table[[#This Row],[Marker name]],BaseInfos_Table[],3,FALSE)</f>
        <v xml:space="preserve">3326-32-7 </v>
      </c>
      <c r="C19" s="10" t="s">
        <v>247</v>
      </c>
      <c r="D19" s="10" t="s">
        <v>479</v>
      </c>
      <c r="E19" s="10">
        <v>360</v>
      </c>
      <c r="F19" s="10" t="s">
        <v>83</v>
      </c>
      <c r="G19" s="10">
        <v>708.6</v>
      </c>
      <c r="H19" s="10">
        <v>101.3</v>
      </c>
      <c r="I19" s="10" t="s">
        <v>55</v>
      </c>
      <c r="J19" s="10" t="s">
        <v>55</v>
      </c>
      <c r="K19" s="10" t="s">
        <v>55</v>
      </c>
      <c r="L19" s="10" t="s">
        <v>55</v>
      </c>
      <c r="M19" s="10" t="s">
        <v>55</v>
      </c>
      <c r="N19" s="10">
        <v>3.9</v>
      </c>
      <c r="O19" s="10">
        <v>25</v>
      </c>
      <c r="P19" s="10" t="s">
        <v>55</v>
      </c>
      <c r="Q19" s="10" t="s">
        <v>55</v>
      </c>
      <c r="R19" s="10" t="s">
        <v>55</v>
      </c>
      <c r="S19" s="10" t="s">
        <v>55</v>
      </c>
      <c r="T19" s="10" t="s">
        <v>55</v>
      </c>
      <c r="U19" s="10" t="s">
        <v>55</v>
      </c>
      <c r="V19" s="10" t="s">
        <v>55</v>
      </c>
      <c r="W19" s="10" t="s">
        <v>55</v>
      </c>
      <c r="X19" s="10" t="s">
        <v>55</v>
      </c>
      <c r="Y19" s="10" t="s">
        <v>55</v>
      </c>
      <c r="Z19" s="10" t="s">
        <v>55</v>
      </c>
      <c r="AA19" s="10" t="s">
        <v>55</v>
      </c>
      <c r="AB19" s="10" t="s">
        <v>55</v>
      </c>
      <c r="AC19" s="10" t="s">
        <v>55</v>
      </c>
      <c r="AD19" s="10" t="s">
        <v>55</v>
      </c>
      <c r="AE19" s="10" t="s">
        <v>55</v>
      </c>
      <c r="AF19" s="10" t="s">
        <v>55</v>
      </c>
      <c r="AG19" s="10" t="s">
        <v>55</v>
      </c>
      <c r="AH19" s="12" t="s">
        <v>480</v>
      </c>
      <c r="AI19" s="12"/>
    </row>
    <row r="20" spans="1:35" x14ac:dyDescent="0.3">
      <c r="A20" s="10" t="s">
        <v>234</v>
      </c>
      <c r="B20" s="11" t="str">
        <f>VLOOKUP(PhysChem_Table[[#This Row],[Marker name]],BaseInfos_Table[],3,FALSE)</f>
        <v>3599-32-4</v>
      </c>
      <c r="C20" s="10" t="s">
        <v>244</v>
      </c>
      <c r="D20" s="10" t="s">
        <v>246</v>
      </c>
      <c r="E20" s="10">
        <v>200</v>
      </c>
      <c r="F20" s="10" t="s">
        <v>83</v>
      </c>
      <c r="G20" s="10" t="s">
        <v>55</v>
      </c>
      <c r="H20" s="10" t="s">
        <v>55</v>
      </c>
      <c r="I20" s="10" t="s">
        <v>55</v>
      </c>
      <c r="J20" s="10" t="s">
        <v>55</v>
      </c>
      <c r="K20" s="10" t="s">
        <v>55</v>
      </c>
      <c r="L20" s="10" t="s">
        <v>55</v>
      </c>
      <c r="M20" s="10" t="s">
        <v>55</v>
      </c>
      <c r="N20" s="10">
        <v>-0.28999999999999998</v>
      </c>
      <c r="O20" s="10" t="s">
        <v>83</v>
      </c>
      <c r="P20" s="10" t="s">
        <v>83</v>
      </c>
      <c r="Q20" s="10" t="s">
        <v>83</v>
      </c>
      <c r="R20" s="10" t="s">
        <v>641</v>
      </c>
      <c r="S20" s="10" t="s">
        <v>55</v>
      </c>
      <c r="T20" s="10" t="s">
        <v>55</v>
      </c>
      <c r="U20" s="10" t="s">
        <v>55</v>
      </c>
      <c r="V20" s="10" t="s">
        <v>55</v>
      </c>
      <c r="W20" s="10" t="s">
        <v>55</v>
      </c>
      <c r="X20" s="10" t="s">
        <v>55</v>
      </c>
      <c r="Y20" s="10" t="s">
        <v>55</v>
      </c>
      <c r="Z20" s="10" t="s">
        <v>55</v>
      </c>
      <c r="AA20" s="10" t="s">
        <v>55</v>
      </c>
      <c r="AB20" s="10" t="s">
        <v>55</v>
      </c>
      <c r="AC20" s="10" t="s">
        <v>55</v>
      </c>
      <c r="AD20" s="10" t="s">
        <v>55</v>
      </c>
      <c r="AE20" s="10">
        <v>6</v>
      </c>
      <c r="AF20" s="10" t="s">
        <v>55</v>
      </c>
      <c r="AG20" s="10" t="s">
        <v>55</v>
      </c>
      <c r="AH20" s="12" t="s">
        <v>494</v>
      </c>
      <c r="AI20" s="12"/>
    </row>
    <row r="21" spans="1:35" x14ac:dyDescent="0.3">
      <c r="A21" s="10" t="s">
        <v>235</v>
      </c>
      <c r="B21" s="11" t="str">
        <f>VLOOKUP(PhysChem_Table[[#This Row],[Marker name]],BaseInfos_Table[],3,FALSE)</f>
        <v>61-73-4</v>
      </c>
      <c r="C21" s="10" t="s">
        <v>244</v>
      </c>
      <c r="D21" s="10" t="s">
        <v>245</v>
      </c>
      <c r="E21" s="10">
        <v>110</v>
      </c>
      <c r="F21" s="10" t="s">
        <v>83</v>
      </c>
      <c r="G21" s="10" t="s">
        <v>55</v>
      </c>
      <c r="H21" s="10" t="s">
        <v>55</v>
      </c>
      <c r="I21" s="10" t="s">
        <v>55</v>
      </c>
      <c r="J21" s="10" t="s">
        <v>55</v>
      </c>
      <c r="K21" s="10" t="s">
        <v>55</v>
      </c>
      <c r="L21" s="10">
        <v>933.25</v>
      </c>
      <c r="M21" s="10">
        <v>25</v>
      </c>
      <c r="N21" s="10">
        <v>0.75</v>
      </c>
      <c r="O21" s="10" t="s">
        <v>55</v>
      </c>
      <c r="P21" s="10">
        <v>43.6</v>
      </c>
      <c r="Q21" s="10">
        <v>25</v>
      </c>
      <c r="R21" s="10" t="s">
        <v>642</v>
      </c>
      <c r="S21" s="10" t="s">
        <v>83</v>
      </c>
      <c r="T21" s="10" t="s">
        <v>83</v>
      </c>
      <c r="U21" s="10" t="s">
        <v>55</v>
      </c>
      <c r="V21" s="10" t="s">
        <v>55</v>
      </c>
      <c r="W21" s="10" t="s">
        <v>55</v>
      </c>
      <c r="X21" s="10" t="s">
        <v>55</v>
      </c>
      <c r="Y21" s="10" t="s">
        <v>55</v>
      </c>
      <c r="Z21" s="10" t="s">
        <v>55</v>
      </c>
      <c r="AA21" s="10" t="s">
        <v>55</v>
      </c>
      <c r="AB21" s="10" t="s">
        <v>55</v>
      </c>
      <c r="AC21" s="10" t="s">
        <v>55</v>
      </c>
      <c r="AD21" s="10" t="s">
        <v>55</v>
      </c>
      <c r="AE21" s="10" t="s">
        <v>55</v>
      </c>
      <c r="AF21" s="10">
        <v>3.14</v>
      </c>
      <c r="AG21" s="10" t="s">
        <v>492</v>
      </c>
      <c r="AH21" s="12" t="s">
        <v>493</v>
      </c>
      <c r="AI21" s="12"/>
    </row>
    <row r="22" spans="1:35" x14ac:dyDescent="0.3">
      <c r="A22" s="10" t="s">
        <v>250</v>
      </c>
      <c r="B22" s="11" t="str">
        <f>VLOOKUP(PhysChem_Table[[#This Row],[Marker name]],BaseInfos_Table[],3,FALSE)</f>
        <v>308068-56-6</v>
      </c>
      <c r="C22" s="10" t="s">
        <v>225</v>
      </c>
      <c r="D22" s="10" t="s">
        <v>253</v>
      </c>
      <c r="E22" s="10">
        <v>400</v>
      </c>
      <c r="F22" s="10" t="s">
        <v>83</v>
      </c>
      <c r="G22" s="10" t="s">
        <v>84</v>
      </c>
      <c r="H22" s="10" t="s">
        <v>84</v>
      </c>
      <c r="I22" s="10">
        <v>1.877</v>
      </c>
      <c r="J22" s="10">
        <v>20</v>
      </c>
      <c r="K22" s="10" t="s">
        <v>254</v>
      </c>
      <c r="L22" s="10" t="s">
        <v>84</v>
      </c>
      <c r="M22" s="10" t="s">
        <v>84</v>
      </c>
      <c r="N22" s="10" t="s">
        <v>84</v>
      </c>
      <c r="O22" s="10" t="s">
        <v>84</v>
      </c>
      <c r="P22" s="10">
        <v>1E-3</v>
      </c>
      <c r="Q22" s="10">
        <v>20</v>
      </c>
      <c r="R22" s="10" t="s">
        <v>84</v>
      </c>
      <c r="S22" s="10" t="s">
        <v>84</v>
      </c>
      <c r="T22" s="10" t="s">
        <v>84</v>
      </c>
      <c r="U22" s="10" t="s">
        <v>84</v>
      </c>
      <c r="V22" s="10" t="s">
        <v>84</v>
      </c>
      <c r="W22" s="10" t="s">
        <v>84</v>
      </c>
      <c r="X22" s="10" t="s">
        <v>72</v>
      </c>
      <c r="Y22" s="10" t="s">
        <v>86</v>
      </c>
      <c r="Z22" s="10" t="s">
        <v>84</v>
      </c>
      <c r="AA22" s="10" t="s">
        <v>84</v>
      </c>
      <c r="AB22" s="10" t="s">
        <v>55</v>
      </c>
      <c r="AC22" s="10" t="s">
        <v>55</v>
      </c>
      <c r="AD22" s="10" t="s">
        <v>55</v>
      </c>
      <c r="AE22" s="10" t="s">
        <v>55</v>
      </c>
      <c r="AF22" s="10" t="s">
        <v>55</v>
      </c>
      <c r="AG22" s="10" t="s">
        <v>55</v>
      </c>
      <c r="AH22" s="12" t="s">
        <v>495</v>
      </c>
      <c r="AI22" s="12"/>
    </row>
    <row r="23" spans="1:35" x14ac:dyDescent="0.3">
      <c r="A23" s="10" t="s">
        <v>260</v>
      </c>
      <c r="B23" s="11" t="str">
        <f>VLOOKUP(PhysChem_Table[[#This Row],[Marker name]],BaseInfos_Table[],3,FALSE)</f>
        <v>199444-11-6</v>
      </c>
      <c r="C23" s="10" t="s">
        <v>292</v>
      </c>
      <c r="D23" s="10" t="s">
        <v>55</v>
      </c>
      <c r="E23" s="10">
        <v>208</v>
      </c>
      <c r="F23" s="10" t="s">
        <v>83</v>
      </c>
      <c r="G23" s="10" t="s">
        <v>55</v>
      </c>
      <c r="H23" s="10" t="s">
        <v>55</v>
      </c>
      <c r="I23" s="10" t="s">
        <v>55</v>
      </c>
      <c r="J23" s="10" t="s">
        <v>55</v>
      </c>
      <c r="K23" s="10" t="s">
        <v>55</v>
      </c>
      <c r="L23" s="10" t="s">
        <v>55</v>
      </c>
      <c r="M23" s="10" t="s">
        <v>55</v>
      </c>
      <c r="N23" s="10" t="s">
        <v>55</v>
      </c>
      <c r="O23" s="10" t="s">
        <v>55</v>
      </c>
      <c r="P23" s="10" t="s">
        <v>55</v>
      </c>
      <c r="Q23" s="10" t="s">
        <v>55</v>
      </c>
      <c r="R23" s="10" t="s">
        <v>55</v>
      </c>
      <c r="S23" s="10" t="s">
        <v>55</v>
      </c>
      <c r="T23" s="10" t="s">
        <v>55</v>
      </c>
      <c r="U23" s="10" t="s">
        <v>55</v>
      </c>
      <c r="V23" s="10" t="s">
        <v>55</v>
      </c>
      <c r="W23" s="10" t="s">
        <v>55</v>
      </c>
      <c r="X23" s="10" t="s">
        <v>55</v>
      </c>
      <c r="Y23" s="10" t="s">
        <v>291</v>
      </c>
      <c r="Z23" s="10" t="s">
        <v>55</v>
      </c>
      <c r="AA23" s="10" t="s">
        <v>55</v>
      </c>
      <c r="AB23" s="10" t="s">
        <v>55</v>
      </c>
      <c r="AC23" s="10" t="s">
        <v>55</v>
      </c>
      <c r="AD23" s="10" t="s">
        <v>55</v>
      </c>
      <c r="AE23" s="10" t="s">
        <v>55</v>
      </c>
      <c r="AF23" s="10" t="s">
        <v>55</v>
      </c>
      <c r="AG23" s="10" t="s">
        <v>55</v>
      </c>
      <c r="AH23" s="12" t="s">
        <v>496</v>
      </c>
      <c r="AI23" s="12"/>
    </row>
    <row r="24" spans="1:35" x14ac:dyDescent="0.3">
      <c r="A24" s="10" t="s">
        <v>264</v>
      </c>
      <c r="B24" s="11" t="str">
        <f>VLOOKUP(PhysChem_Table[[#This Row],[Marker name]],BaseInfos_Table[],3,FALSE)</f>
        <v>207399-07-3</v>
      </c>
      <c r="C24" s="10" t="s">
        <v>292</v>
      </c>
      <c r="D24" s="10" t="s">
        <v>55</v>
      </c>
      <c r="E24" s="10">
        <v>232</v>
      </c>
      <c r="F24" s="10" t="s">
        <v>83</v>
      </c>
      <c r="G24" s="10" t="s">
        <v>55</v>
      </c>
      <c r="H24" s="10" t="s">
        <v>55</v>
      </c>
      <c r="I24" s="10" t="s">
        <v>55</v>
      </c>
      <c r="J24" s="10" t="s">
        <v>55</v>
      </c>
      <c r="K24" s="10" t="s">
        <v>55</v>
      </c>
      <c r="L24" s="10" t="s">
        <v>55</v>
      </c>
      <c r="M24" s="10" t="s">
        <v>55</v>
      </c>
      <c r="N24" s="10" t="s">
        <v>55</v>
      </c>
      <c r="O24" s="10" t="s">
        <v>55</v>
      </c>
      <c r="P24" s="10" t="s">
        <v>55</v>
      </c>
      <c r="Q24" s="10" t="s">
        <v>55</v>
      </c>
      <c r="R24" s="10" t="s">
        <v>55</v>
      </c>
      <c r="S24" s="10" t="s">
        <v>55</v>
      </c>
      <c r="T24" s="10" t="s">
        <v>55</v>
      </c>
      <c r="U24" s="10" t="s">
        <v>55</v>
      </c>
      <c r="V24" s="10" t="s">
        <v>55</v>
      </c>
      <c r="W24" s="10" t="s">
        <v>55</v>
      </c>
      <c r="X24" s="10" t="s">
        <v>55</v>
      </c>
      <c r="Y24" s="10" t="s">
        <v>291</v>
      </c>
      <c r="Z24" s="10" t="s">
        <v>55</v>
      </c>
      <c r="AA24" s="10" t="s">
        <v>55</v>
      </c>
      <c r="AB24" s="10" t="s">
        <v>55</v>
      </c>
      <c r="AC24" s="10" t="s">
        <v>55</v>
      </c>
      <c r="AD24" s="10" t="s">
        <v>55</v>
      </c>
      <c r="AE24" s="10" t="s">
        <v>55</v>
      </c>
      <c r="AF24" s="10" t="s">
        <v>55</v>
      </c>
      <c r="AG24" s="10" t="s">
        <v>55</v>
      </c>
      <c r="AH24" s="12" t="s">
        <v>497</v>
      </c>
      <c r="AI24" s="12"/>
    </row>
    <row r="25" spans="1:35" x14ac:dyDescent="0.3">
      <c r="A25" s="10" t="s">
        <v>267</v>
      </c>
      <c r="B25" s="11" t="str">
        <f>VLOOKUP(PhysChem_Table[[#This Row],[Marker name]],BaseInfos_Table[],3,FALSE)</f>
        <v>115970-66-6</v>
      </c>
      <c r="C25" s="10" t="s">
        <v>289</v>
      </c>
      <c r="D25" s="10" t="s">
        <v>290</v>
      </c>
      <c r="E25" s="10">
        <v>209</v>
      </c>
      <c r="F25" s="10" t="s">
        <v>83</v>
      </c>
      <c r="G25" s="10" t="s">
        <v>55</v>
      </c>
      <c r="H25" s="10" t="s">
        <v>55</v>
      </c>
      <c r="I25" s="10" t="s">
        <v>55</v>
      </c>
      <c r="J25" s="10" t="s">
        <v>55</v>
      </c>
      <c r="K25" s="10" t="s">
        <v>55</v>
      </c>
      <c r="L25" s="10" t="s">
        <v>55</v>
      </c>
      <c r="M25" s="10" t="s">
        <v>55</v>
      </c>
      <c r="N25" s="10" t="s">
        <v>55</v>
      </c>
      <c r="O25" s="10" t="s">
        <v>55</v>
      </c>
      <c r="P25" s="10" t="s">
        <v>55</v>
      </c>
      <c r="Q25" s="10" t="s">
        <v>55</v>
      </c>
      <c r="R25" s="10" t="s">
        <v>55</v>
      </c>
      <c r="S25" s="10" t="s">
        <v>55</v>
      </c>
      <c r="T25" s="10" t="s">
        <v>55</v>
      </c>
      <c r="U25" s="10" t="s">
        <v>55</v>
      </c>
      <c r="V25" s="10" t="s">
        <v>55</v>
      </c>
      <c r="W25" s="10" t="s">
        <v>55</v>
      </c>
      <c r="X25" s="10" t="s">
        <v>55</v>
      </c>
      <c r="Y25" s="10" t="s">
        <v>291</v>
      </c>
      <c r="Z25" s="10" t="s">
        <v>55</v>
      </c>
      <c r="AA25" s="10" t="s">
        <v>55</v>
      </c>
      <c r="AB25" s="10" t="s">
        <v>55</v>
      </c>
      <c r="AC25" s="10" t="s">
        <v>55</v>
      </c>
      <c r="AD25" s="10" t="s">
        <v>55</v>
      </c>
      <c r="AE25" s="10" t="s">
        <v>55</v>
      </c>
      <c r="AF25" s="10" t="s">
        <v>55</v>
      </c>
      <c r="AG25" s="10" t="s">
        <v>55</v>
      </c>
      <c r="AH25" s="12" t="s">
        <v>498</v>
      </c>
      <c r="AI25" s="12"/>
    </row>
    <row r="26" spans="1:35" x14ac:dyDescent="0.3">
      <c r="A26" s="10" t="s">
        <v>269</v>
      </c>
      <c r="B26" s="11" t="str">
        <f>VLOOKUP(PhysChem_Table[[#This Row],[Marker name]],BaseInfos_Table[],3,FALSE)</f>
        <v>110992-55-7</v>
      </c>
      <c r="C26" s="10" t="s">
        <v>287</v>
      </c>
      <c r="D26" s="10" t="s">
        <v>55</v>
      </c>
      <c r="E26" s="10">
        <v>116</v>
      </c>
      <c r="F26" s="10" t="s">
        <v>83</v>
      </c>
      <c r="G26" s="10" t="s">
        <v>55</v>
      </c>
      <c r="H26" s="10" t="s">
        <v>55</v>
      </c>
      <c r="I26" s="10" t="s">
        <v>55</v>
      </c>
      <c r="J26" s="10" t="s">
        <v>55</v>
      </c>
      <c r="K26" s="10" t="s">
        <v>55</v>
      </c>
      <c r="L26" s="10" t="s">
        <v>55</v>
      </c>
      <c r="M26" s="10" t="s">
        <v>55</v>
      </c>
      <c r="N26" s="10" t="s">
        <v>55</v>
      </c>
      <c r="O26" s="10" t="s">
        <v>55</v>
      </c>
      <c r="P26" s="10" t="s">
        <v>55</v>
      </c>
      <c r="Q26" s="10" t="s">
        <v>55</v>
      </c>
      <c r="R26" s="10" t="s">
        <v>55</v>
      </c>
      <c r="S26" s="10" t="s">
        <v>55</v>
      </c>
      <c r="T26" s="10" t="s">
        <v>55</v>
      </c>
      <c r="U26" s="10" t="s">
        <v>55</v>
      </c>
      <c r="V26" s="10" t="s">
        <v>55</v>
      </c>
      <c r="W26" s="10" t="s">
        <v>55</v>
      </c>
      <c r="X26" s="10" t="s">
        <v>55</v>
      </c>
      <c r="Y26" s="10" t="s">
        <v>291</v>
      </c>
      <c r="Z26" s="10" t="s">
        <v>55</v>
      </c>
      <c r="AA26" s="10" t="s">
        <v>55</v>
      </c>
      <c r="AB26" s="10" t="s">
        <v>55</v>
      </c>
      <c r="AC26" s="10" t="s">
        <v>55</v>
      </c>
      <c r="AD26" s="10" t="s">
        <v>55</v>
      </c>
      <c r="AE26" s="10" t="s">
        <v>55</v>
      </c>
      <c r="AF26" s="10" t="s">
        <v>55</v>
      </c>
      <c r="AG26" s="10" t="s">
        <v>55</v>
      </c>
      <c r="AH26" s="12" t="s">
        <v>499</v>
      </c>
      <c r="AI26" s="12"/>
    </row>
    <row r="27" spans="1:35" x14ac:dyDescent="0.3">
      <c r="A27" s="10" t="s">
        <v>272</v>
      </c>
      <c r="B27" s="11" t="str">
        <f>VLOOKUP(PhysChem_Table[[#This Row],[Marker name]],BaseInfos_Table[],3,FALSE)</f>
        <v>757960-10-4</v>
      </c>
      <c r="C27" s="10" t="s">
        <v>55</v>
      </c>
      <c r="D27" s="10" t="s">
        <v>55</v>
      </c>
      <c r="E27" s="10" t="s">
        <v>55</v>
      </c>
      <c r="F27" s="10" t="s">
        <v>55</v>
      </c>
      <c r="G27" s="10" t="s">
        <v>55</v>
      </c>
      <c r="H27" s="10" t="s">
        <v>55</v>
      </c>
      <c r="I27" s="10" t="s">
        <v>55</v>
      </c>
      <c r="J27" s="10" t="s">
        <v>55</v>
      </c>
      <c r="K27" s="10" t="s">
        <v>55</v>
      </c>
      <c r="L27" s="10" t="s">
        <v>55</v>
      </c>
      <c r="M27" s="10" t="s">
        <v>55</v>
      </c>
      <c r="N27" s="10" t="s">
        <v>55</v>
      </c>
      <c r="O27" s="10" t="s">
        <v>55</v>
      </c>
      <c r="P27" s="10" t="s">
        <v>55</v>
      </c>
      <c r="Q27" s="10" t="s">
        <v>55</v>
      </c>
      <c r="R27" s="10" t="s">
        <v>55</v>
      </c>
      <c r="S27" s="10" t="s">
        <v>55</v>
      </c>
      <c r="T27" s="10" t="s">
        <v>55</v>
      </c>
      <c r="U27" s="10" t="s">
        <v>55</v>
      </c>
      <c r="V27" s="10" t="s">
        <v>55</v>
      </c>
      <c r="W27" s="10" t="s">
        <v>55</v>
      </c>
      <c r="X27" s="10" t="s">
        <v>55</v>
      </c>
      <c r="Y27" s="10" t="s">
        <v>291</v>
      </c>
      <c r="Z27" s="10" t="s">
        <v>55</v>
      </c>
      <c r="AA27" s="10" t="s">
        <v>55</v>
      </c>
      <c r="AB27" s="10" t="s">
        <v>55</v>
      </c>
      <c r="AC27" s="10" t="s">
        <v>55</v>
      </c>
      <c r="AD27" s="10" t="s">
        <v>55</v>
      </c>
      <c r="AE27" s="10" t="s">
        <v>55</v>
      </c>
      <c r="AF27" s="10" t="s">
        <v>55</v>
      </c>
      <c r="AG27" s="10" t="s">
        <v>55</v>
      </c>
      <c r="AH27" s="10" t="s">
        <v>55</v>
      </c>
    </row>
    <row r="28" spans="1:35" x14ac:dyDescent="0.3">
      <c r="A28" s="10" t="s">
        <v>280</v>
      </c>
      <c r="B28" s="11" t="str">
        <f>VLOOKUP(PhysChem_Table[[#This Row],[Marker name]],BaseInfos_Table[],3,FALSE)</f>
        <v>1306-25-8</v>
      </c>
      <c r="C28" s="10" t="s">
        <v>247</v>
      </c>
      <c r="D28" s="10" t="s">
        <v>253</v>
      </c>
      <c r="E28" s="10">
        <v>1042</v>
      </c>
      <c r="F28" s="10">
        <v>101.325</v>
      </c>
      <c r="G28" s="10" t="s">
        <v>84</v>
      </c>
      <c r="H28" s="10" t="s">
        <v>84</v>
      </c>
      <c r="I28" s="10">
        <v>5.83</v>
      </c>
      <c r="J28" s="10">
        <v>20</v>
      </c>
      <c r="K28" s="10" t="s">
        <v>286</v>
      </c>
      <c r="L28" s="10" t="s">
        <v>84</v>
      </c>
      <c r="M28" s="10" t="s">
        <v>84</v>
      </c>
      <c r="N28" s="10" t="s">
        <v>84</v>
      </c>
      <c r="O28" s="10" t="s">
        <v>84</v>
      </c>
      <c r="P28" s="10">
        <v>1.9000000000000001E-5</v>
      </c>
      <c r="Q28" s="10">
        <v>22</v>
      </c>
      <c r="R28" s="10" t="s">
        <v>55</v>
      </c>
      <c r="S28" s="10" t="s">
        <v>55</v>
      </c>
      <c r="T28" s="10" t="s">
        <v>55</v>
      </c>
      <c r="U28" s="10" t="s">
        <v>84</v>
      </c>
      <c r="V28" s="10" t="s">
        <v>84</v>
      </c>
      <c r="W28" s="10" t="s">
        <v>84</v>
      </c>
      <c r="X28" s="10" t="s">
        <v>72</v>
      </c>
      <c r="Y28" s="10" t="s">
        <v>86</v>
      </c>
      <c r="Z28" s="10" t="s">
        <v>84</v>
      </c>
      <c r="AA28" s="10" t="s">
        <v>84</v>
      </c>
      <c r="AB28" s="10" t="s">
        <v>84</v>
      </c>
      <c r="AC28" s="10" t="s">
        <v>55</v>
      </c>
      <c r="AD28" s="10" t="s">
        <v>55</v>
      </c>
      <c r="AE28" s="10" t="s">
        <v>55</v>
      </c>
      <c r="AF28" s="10" t="s">
        <v>84</v>
      </c>
      <c r="AG28" s="10" t="s">
        <v>84</v>
      </c>
      <c r="AH28" s="12" t="s">
        <v>500</v>
      </c>
      <c r="AI28" s="12"/>
    </row>
    <row r="29" spans="1:35" x14ac:dyDescent="0.3">
      <c r="A29" s="10" t="s">
        <v>281</v>
      </c>
      <c r="B29" s="11" t="str">
        <f>VLOOKUP(PhysChem_Table[[#This Row],[Marker name]],BaseInfos_Table[],3,FALSE)</f>
        <v>1314-87-0</v>
      </c>
      <c r="C29" s="10" t="s">
        <v>653</v>
      </c>
      <c r="D29" s="10" t="s">
        <v>253</v>
      </c>
      <c r="E29" s="10">
        <v>1114</v>
      </c>
      <c r="F29" s="10" t="s">
        <v>83</v>
      </c>
      <c r="G29" s="10">
        <v>1281</v>
      </c>
      <c r="H29" s="10" t="s">
        <v>83</v>
      </c>
      <c r="I29" s="10">
        <v>7.5</v>
      </c>
      <c r="J29" s="10">
        <v>20</v>
      </c>
      <c r="K29" s="10" t="s">
        <v>55</v>
      </c>
      <c r="L29" s="10" t="s">
        <v>55</v>
      </c>
      <c r="M29" s="10" t="s">
        <v>55</v>
      </c>
      <c r="N29" s="10" t="s">
        <v>55</v>
      </c>
      <c r="O29" s="10" t="s">
        <v>55</v>
      </c>
      <c r="P29" s="10">
        <v>1E-4</v>
      </c>
      <c r="Q29" s="10" t="s">
        <v>503</v>
      </c>
      <c r="R29" s="10" t="s">
        <v>55</v>
      </c>
      <c r="S29" s="10" t="s">
        <v>55</v>
      </c>
      <c r="T29" s="10" t="s">
        <v>55</v>
      </c>
      <c r="U29" s="10" t="s">
        <v>55</v>
      </c>
      <c r="V29" s="10" t="s">
        <v>55</v>
      </c>
      <c r="W29" s="10" t="s">
        <v>55</v>
      </c>
      <c r="X29" s="10" t="s">
        <v>55</v>
      </c>
      <c r="Y29" s="10" t="s">
        <v>55</v>
      </c>
      <c r="Z29" s="10" t="s">
        <v>55</v>
      </c>
      <c r="AA29" s="10" t="s">
        <v>55</v>
      </c>
      <c r="AB29" s="10" t="s">
        <v>55</v>
      </c>
      <c r="AC29" s="10" t="s">
        <v>55</v>
      </c>
      <c r="AD29" s="10" t="s">
        <v>55</v>
      </c>
      <c r="AE29" s="10" t="s">
        <v>55</v>
      </c>
      <c r="AF29" s="10" t="s">
        <v>55</v>
      </c>
      <c r="AG29" s="10" t="s">
        <v>55</v>
      </c>
      <c r="AH29" s="12" t="s">
        <v>504</v>
      </c>
      <c r="AI29" s="12" t="s">
        <v>657</v>
      </c>
    </row>
    <row r="30" spans="1:35" x14ac:dyDescent="0.3">
      <c r="A30" s="10" t="s">
        <v>691</v>
      </c>
      <c r="B30" s="11" t="str">
        <f>VLOOKUP(PhysChem_Table[[#This Row],[Marker name]],BaseInfos_Table[],3,FALSE)</f>
        <v>1312-81-8</v>
      </c>
      <c r="C30" s="10" t="s">
        <v>289</v>
      </c>
      <c r="D30" s="10" t="s">
        <v>81</v>
      </c>
      <c r="E30" s="10">
        <v>400</v>
      </c>
      <c r="F30" s="10">
        <v>101.325</v>
      </c>
      <c r="G30" s="10">
        <v>4200</v>
      </c>
      <c r="H30" s="10">
        <v>101.325</v>
      </c>
      <c r="I30" s="10">
        <v>6.51</v>
      </c>
      <c r="J30" s="10">
        <v>20</v>
      </c>
      <c r="K30" s="10" t="s">
        <v>312</v>
      </c>
      <c r="L30" s="10" t="s">
        <v>84</v>
      </c>
      <c r="M30" s="10" t="s">
        <v>84</v>
      </c>
      <c r="N30" s="10" t="s">
        <v>84</v>
      </c>
      <c r="O30" s="10" t="s">
        <v>84</v>
      </c>
      <c r="P30" s="10">
        <v>6.9599999999999998E-5</v>
      </c>
      <c r="Q30" s="10">
        <v>20</v>
      </c>
      <c r="R30" s="10" t="s">
        <v>55</v>
      </c>
      <c r="S30" s="10" t="s">
        <v>55</v>
      </c>
      <c r="T30" s="10" t="s">
        <v>55</v>
      </c>
      <c r="U30" s="10" t="s">
        <v>84</v>
      </c>
      <c r="V30" s="10" t="s">
        <v>84</v>
      </c>
      <c r="W30" s="10" t="s">
        <v>84</v>
      </c>
      <c r="X30" s="10" t="s">
        <v>72</v>
      </c>
      <c r="Y30" s="10" t="s">
        <v>86</v>
      </c>
      <c r="Z30" s="10" t="s">
        <v>89</v>
      </c>
      <c r="AA30" s="10" t="s">
        <v>90</v>
      </c>
      <c r="AB30" s="10" t="s">
        <v>84</v>
      </c>
      <c r="AC30" s="10" t="s">
        <v>55</v>
      </c>
      <c r="AD30" s="10" t="s">
        <v>55</v>
      </c>
      <c r="AE30" s="10" t="s">
        <v>55</v>
      </c>
      <c r="AF30" s="10" t="s">
        <v>84</v>
      </c>
      <c r="AG30" s="10" t="s">
        <v>84</v>
      </c>
      <c r="AH30" s="12" t="s">
        <v>505</v>
      </c>
      <c r="AI30" s="12"/>
    </row>
    <row r="31" spans="1:35" x14ac:dyDescent="0.3">
      <c r="A31" s="10" t="s">
        <v>692</v>
      </c>
      <c r="B31" s="11" t="str">
        <f>VLOOKUP(PhysChem_Table[[#This Row],[Marker name]],BaseInfos_Table[],3,FALSE)</f>
        <v>12037-29-5</v>
      </c>
      <c r="C31" s="10" t="s">
        <v>247</v>
      </c>
      <c r="D31" s="10" t="s">
        <v>313</v>
      </c>
      <c r="E31" s="10">
        <v>2183</v>
      </c>
      <c r="F31" s="10" t="s">
        <v>83</v>
      </c>
      <c r="G31" s="10">
        <v>3760</v>
      </c>
      <c r="H31" s="10" t="s">
        <v>83</v>
      </c>
      <c r="I31" s="10">
        <v>6.5</v>
      </c>
      <c r="J31" s="10">
        <v>20</v>
      </c>
      <c r="K31" s="10" t="s">
        <v>314</v>
      </c>
      <c r="L31" s="10" t="s">
        <v>84</v>
      </c>
      <c r="M31" s="10" t="s">
        <v>84</v>
      </c>
      <c r="N31" s="10" t="s">
        <v>84</v>
      </c>
      <c r="O31" s="10" t="s">
        <v>84</v>
      </c>
      <c r="P31" s="10">
        <v>1.2699999999999999E-6</v>
      </c>
      <c r="Q31" s="10">
        <v>20</v>
      </c>
      <c r="R31" s="10" t="s">
        <v>55</v>
      </c>
      <c r="S31" s="10" t="s">
        <v>55</v>
      </c>
      <c r="T31" s="10" t="s">
        <v>55</v>
      </c>
      <c r="U31" s="10" t="s">
        <v>84</v>
      </c>
      <c r="V31" s="10" t="s">
        <v>84</v>
      </c>
      <c r="W31" s="10" t="s">
        <v>84</v>
      </c>
      <c r="X31" s="10" t="s">
        <v>72</v>
      </c>
      <c r="Y31" s="10" t="s">
        <v>86</v>
      </c>
      <c r="Z31" s="10" t="s">
        <v>84</v>
      </c>
      <c r="AA31" s="10" t="s">
        <v>90</v>
      </c>
      <c r="AB31" s="10" t="s">
        <v>55</v>
      </c>
      <c r="AC31" s="10" t="s">
        <v>55</v>
      </c>
      <c r="AD31" s="10" t="s">
        <v>55</v>
      </c>
      <c r="AE31" s="10" t="s">
        <v>55</v>
      </c>
      <c r="AF31" s="10" t="s">
        <v>84</v>
      </c>
      <c r="AG31" s="10" t="s">
        <v>84</v>
      </c>
      <c r="AH31" s="12" t="s">
        <v>506</v>
      </c>
      <c r="AI31" s="12"/>
    </row>
    <row r="32" spans="1:35" x14ac:dyDescent="0.3">
      <c r="A32" s="10" t="s">
        <v>693</v>
      </c>
      <c r="B32" s="11" t="str">
        <f>VLOOKUP(PhysChem_Table[[#This Row],[Marker name]],BaseInfos_Table[],3,FALSE)</f>
        <v>12061-16-4</v>
      </c>
      <c r="C32" s="10" t="s">
        <v>247</v>
      </c>
      <c r="D32" s="10" t="s">
        <v>315</v>
      </c>
      <c r="E32" s="10">
        <v>2344</v>
      </c>
      <c r="F32" s="10" t="s">
        <v>83</v>
      </c>
      <c r="G32" s="10">
        <v>3920</v>
      </c>
      <c r="H32" s="10" t="s">
        <v>83</v>
      </c>
      <c r="I32" s="10">
        <v>8.64</v>
      </c>
      <c r="J32" s="10">
        <v>20</v>
      </c>
      <c r="K32" s="10" t="s">
        <v>316</v>
      </c>
      <c r="L32" s="10" t="s">
        <v>84</v>
      </c>
      <c r="M32" s="10" t="s">
        <v>84</v>
      </c>
      <c r="N32" s="10" t="s">
        <v>84</v>
      </c>
      <c r="O32" s="10" t="s">
        <v>84</v>
      </c>
      <c r="P32" s="10">
        <v>4.8999999999999997E-6</v>
      </c>
      <c r="Q32" s="10">
        <v>29</v>
      </c>
      <c r="R32" s="10" t="s">
        <v>55</v>
      </c>
      <c r="S32" s="10" t="s">
        <v>55</v>
      </c>
      <c r="T32" s="10" t="s">
        <v>55</v>
      </c>
      <c r="U32" s="10" t="s">
        <v>84</v>
      </c>
      <c r="V32" s="10" t="s">
        <v>84</v>
      </c>
      <c r="W32" s="10" t="s">
        <v>84</v>
      </c>
      <c r="X32" s="10" t="s">
        <v>84</v>
      </c>
      <c r="Y32" s="10" t="s">
        <v>86</v>
      </c>
      <c r="Z32" s="10" t="s">
        <v>84</v>
      </c>
      <c r="AA32" s="10" t="s">
        <v>90</v>
      </c>
      <c r="AB32" s="10" t="s">
        <v>84</v>
      </c>
      <c r="AC32" s="10" t="s">
        <v>55</v>
      </c>
      <c r="AD32" s="10" t="s">
        <v>55</v>
      </c>
      <c r="AE32" s="10" t="s">
        <v>55</v>
      </c>
      <c r="AF32" s="10" t="s">
        <v>84</v>
      </c>
      <c r="AG32" s="10" t="s">
        <v>84</v>
      </c>
      <c r="AH32" s="12" t="s">
        <v>507</v>
      </c>
      <c r="AI32" s="12"/>
    </row>
    <row r="33" spans="1:35" x14ac:dyDescent="0.3">
      <c r="A33" s="10" t="s">
        <v>694</v>
      </c>
      <c r="B33" s="11" t="str">
        <f>VLOOKUP(PhysChem_Table[[#This Row],[Marker name]],BaseInfos_Table[],3,FALSE)</f>
        <v>1314-37-0</v>
      </c>
      <c r="C33" s="10" t="s">
        <v>247</v>
      </c>
      <c r="D33" s="10" t="s">
        <v>81</v>
      </c>
      <c r="E33" s="10">
        <v>600</v>
      </c>
      <c r="F33" s="10" t="s">
        <v>83</v>
      </c>
      <c r="G33" s="10" t="s">
        <v>84</v>
      </c>
      <c r="H33" s="10" t="s">
        <v>84</v>
      </c>
      <c r="I33" s="10">
        <v>9.1519999999999992</v>
      </c>
      <c r="J33" s="10">
        <v>21.9</v>
      </c>
      <c r="K33" s="10" t="s">
        <v>311</v>
      </c>
      <c r="L33" s="10" t="s">
        <v>84</v>
      </c>
      <c r="M33" s="10" t="s">
        <v>84</v>
      </c>
      <c r="N33" s="10" t="s">
        <v>84</v>
      </c>
      <c r="O33" s="10" t="s">
        <v>84</v>
      </c>
      <c r="P33" s="10">
        <v>2.6899999999999998E-4</v>
      </c>
      <c r="Q33" s="10">
        <v>20</v>
      </c>
      <c r="R33" s="10" t="s">
        <v>55</v>
      </c>
      <c r="S33" s="10" t="s">
        <v>55</v>
      </c>
      <c r="T33" s="10" t="s">
        <v>55</v>
      </c>
      <c r="U33" s="10" t="s">
        <v>84</v>
      </c>
      <c r="V33" s="10" t="s">
        <v>84</v>
      </c>
      <c r="W33" s="10" t="s">
        <v>84</v>
      </c>
      <c r="X33" s="10" t="s">
        <v>72</v>
      </c>
      <c r="Y33" s="10" t="s">
        <v>86</v>
      </c>
      <c r="Z33" s="10" t="s">
        <v>84</v>
      </c>
      <c r="AA33" s="10" t="s">
        <v>90</v>
      </c>
      <c r="AB33" s="10" t="s">
        <v>55</v>
      </c>
      <c r="AC33" s="10" t="s">
        <v>55</v>
      </c>
      <c r="AD33" s="10" t="s">
        <v>55</v>
      </c>
      <c r="AE33" s="10" t="s">
        <v>55</v>
      </c>
      <c r="AF33" s="10" t="s">
        <v>55</v>
      </c>
      <c r="AG33" s="10" t="s">
        <v>55</v>
      </c>
      <c r="AH33" s="12" t="s">
        <v>508</v>
      </c>
      <c r="AI33" s="12"/>
    </row>
    <row r="34" spans="1:35" x14ac:dyDescent="0.3">
      <c r="A34" s="10" t="s">
        <v>695</v>
      </c>
      <c r="B34" s="11" t="str">
        <f>VLOOKUP(PhysChem_Table[[#This Row],[Marker name]],BaseInfos_Table[],3,FALSE)</f>
        <v>68585-82-0</v>
      </c>
      <c r="C34" s="10" t="s">
        <v>247</v>
      </c>
      <c r="D34" s="10" t="s">
        <v>81</v>
      </c>
      <c r="E34" s="10">
        <v>400</v>
      </c>
      <c r="F34" s="10" t="s">
        <v>83</v>
      </c>
      <c r="G34" s="10">
        <v>400</v>
      </c>
      <c r="H34" s="10" t="s">
        <v>83</v>
      </c>
      <c r="I34" s="10">
        <v>5.05</v>
      </c>
      <c r="J34" s="10">
        <v>20</v>
      </c>
      <c r="K34" s="10" t="s">
        <v>326</v>
      </c>
      <c r="L34" s="10">
        <v>0</v>
      </c>
      <c r="M34" s="10">
        <v>25</v>
      </c>
      <c r="N34" s="10" t="s">
        <v>84</v>
      </c>
      <c r="O34" s="10" t="s">
        <v>84</v>
      </c>
      <c r="P34" s="10">
        <v>6.6300000000000005E-7</v>
      </c>
      <c r="Q34" s="10">
        <v>20</v>
      </c>
      <c r="R34" s="10" t="s">
        <v>55</v>
      </c>
      <c r="S34" s="10" t="s">
        <v>55</v>
      </c>
      <c r="T34" s="10" t="s">
        <v>55</v>
      </c>
      <c r="U34" s="10" t="s">
        <v>84</v>
      </c>
      <c r="V34" s="10" t="s">
        <v>84</v>
      </c>
      <c r="W34" s="10" t="s">
        <v>84</v>
      </c>
      <c r="X34" s="10" t="s">
        <v>72</v>
      </c>
      <c r="Y34" s="10" t="s">
        <v>84</v>
      </c>
      <c r="Z34" s="10" t="s">
        <v>89</v>
      </c>
      <c r="AA34" s="10" t="s">
        <v>90</v>
      </c>
      <c r="AB34" s="10" t="s">
        <v>84</v>
      </c>
      <c r="AC34" s="10" t="s">
        <v>55</v>
      </c>
      <c r="AD34" s="10" t="s">
        <v>55</v>
      </c>
      <c r="AE34" s="10" t="s">
        <v>55</v>
      </c>
      <c r="AF34" s="10" t="s">
        <v>84</v>
      </c>
      <c r="AG34" s="10" t="s">
        <v>84</v>
      </c>
      <c r="AH34" s="12" t="s">
        <v>509</v>
      </c>
      <c r="AI34" s="12"/>
    </row>
    <row r="35" spans="1:35" x14ac:dyDescent="0.3">
      <c r="A35" s="10" t="s">
        <v>696</v>
      </c>
      <c r="B35" s="11" t="str">
        <f>VLOOKUP(PhysChem_Table[[#This Row],[Marker name]],BaseInfos_Table[],3,FALSE)</f>
        <v>63774-55-0</v>
      </c>
      <c r="C35" s="10" t="s">
        <v>247</v>
      </c>
      <c r="D35" s="10" t="s">
        <v>81</v>
      </c>
      <c r="E35" s="10" t="s">
        <v>55</v>
      </c>
      <c r="F35" s="10" t="s">
        <v>55</v>
      </c>
      <c r="G35" s="10" t="s">
        <v>55</v>
      </c>
      <c r="H35" s="10" t="s">
        <v>55</v>
      </c>
      <c r="I35" s="10" t="s">
        <v>55</v>
      </c>
      <c r="J35" s="10" t="s">
        <v>55</v>
      </c>
      <c r="K35" s="10" t="s">
        <v>55</v>
      </c>
      <c r="L35" s="10" t="s">
        <v>55</v>
      </c>
      <c r="M35" s="10" t="s">
        <v>55</v>
      </c>
      <c r="N35" s="10" t="s">
        <v>55</v>
      </c>
      <c r="O35" s="10" t="s">
        <v>55</v>
      </c>
      <c r="P35" s="10" t="s">
        <v>55</v>
      </c>
      <c r="Q35" s="10" t="s">
        <v>55</v>
      </c>
      <c r="R35" s="10" t="s">
        <v>55</v>
      </c>
      <c r="S35" s="10" t="s">
        <v>55</v>
      </c>
      <c r="T35" s="10" t="s">
        <v>55</v>
      </c>
      <c r="U35" s="10" t="s">
        <v>55</v>
      </c>
      <c r="V35" s="10" t="s">
        <v>55</v>
      </c>
      <c r="W35" s="10" t="s">
        <v>55</v>
      </c>
      <c r="X35" s="10" t="s">
        <v>55</v>
      </c>
      <c r="Y35" s="10" t="s">
        <v>55</v>
      </c>
      <c r="Z35" s="10" t="s">
        <v>55</v>
      </c>
      <c r="AA35" s="10" t="s">
        <v>55</v>
      </c>
      <c r="AB35" s="10" t="s">
        <v>55</v>
      </c>
      <c r="AC35" s="10" t="s">
        <v>55</v>
      </c>
      <c r="AD35" s="10" t="s">
        <v>55</v>
      </c>
      <c r="AE35" s="10" t="s">
        <v>55</v>
      </c>
      <c r="AF35" s="10" t="s">
        <v>55</v>
      </c>
      <c r="AG35" s="10" t="s">
        <v>55</v>
      </c>
      <c r="AH35" s="12" t="s">
        <v>677</v>
      </c>
    </row>
    <row r="36" spans="1:35" x14ac:dyDescent="0.3">
      <c r="A36" s="10" t="s">
        <v>398</v>
      </c>
      <c r="B36" s="11" t="str">
        <f>VLOOKUP(PhysChem_Table[[#This Row],[Marker name]],BaseInfos_Table[],3,FALSE)</f>
        <v>1309-48-4</v>
      </c>
      <c r="C36" s="10" t="s">
        <v>247</v>
      </c>
      <c r="D36" s="10" t="s">
        <v>81</v>
      </c>
      <c r="E36" s="10">
        <v>2852</v>
      </c>
      <c r="F36" s="10" t="s">
        <v>55</v>
      </c>
      <c r="G36" s="10">
        <v>3600</v>
      </c>
      <c r="H36" s="10">
        <v>101.325</v>
      </c>
      <c r="I36" s="10">
        <v>3.58</v>
      </c>
      <c r="J36" s="10" t="s">
        <v>55</v>
      </c>
      <c r="K36" s="10" t="s">
        <v>55</v>
      </c>
      <c r="L36" s="10" t="s">
        <v>55</v>
      </c>
      <c r="M36" s="10" t="s">
        <v>55</v>
      </c>
      <c r="N36" s="10" t="s">
        <v>55</v>
      </c>
      <c r="O36" s="10" t="s">
        <v>55</v>
      </c>
      <c r="P36" s="10" t="s">
        <v>55</v>
      </c>
      <c r="Q36" s="10" t="s">
        <v>55</v>
      </c>
      <c r="R36" s="10" t="s">
        <v>55</v>
      </c>
      <c r="S36" s="10" t="s">
        <v>55</v>
      </c>
      <c r="T36" s="10" t="s">
        <v>55</v>
      </c>
      <c r="U36" s="10" t="s">
        <v>55</v>
      </c>
      <c r="V36" s="10" t="s">
        <v>55</v>
      </c>
      <c r="W36" s="10" t="s">
        <v>55</v>
      </c>
      <c r="X36" s="10" t="s">
        <v>55</v>
      </c>
      <c r="Y36" s="10" t="s">
        <v>55</v>
      </c>
      <c r="Z36" s="10" t="s">
        <v>55</v>
      </c>
      <c r="AA36" s="10" t="s">
        <v>55</v>
      </c>
      <c r="AB36" s="10" t="s">
        <v>55</v>
      </c>
      <c r="AC36" s="10" t="s">
        <v>55</v>
      </c>
      <c r="AD36" s="10" t="s">
        <v>55</v>
      </c>
      <c r="AE36" s="10" t="s">
        <v>55</v>
      </c>
      <c r="AF36" s="10" t="s">
        <v>55</v>
      </c>
      <c r="AG36" s="10" t="s">
        <v>55</v>
      </c>
      <c r="AH36" s="12" t="s">
        <v>510</v>
      </c>
      <c r="AI36" s="12"/>
    </row>
    <row r="37" spans="1:35" x14ac:dyDescent="0.3">
      <c r="A37" s="16" t="s">
        <v>697</v>
      </c>
      <c r="B37" s="11" t="str">
        <f>VLOOKUP(PhysChem_Table[[#This Row],[Marker name]],BaseInfos_Table[],3,FALSE)</f>
        <v>12060-58-1</v>
      </c>
      <c r="C37" s="10" t="s">
        <v>289</v>
      </c>
      <c r="D37" s="10" t="s">
        <v>430</v>
      </c>
      <c r="E37" s="10">
        <v>2335</v>
      </c>
      <c r="F37" s="10">
        <v>101.325</v>
      </c>
      <c r="G37" s="10" t="s">
        <v>84</v>
      </c>
      <c r="H37" s="10" t="s">
        <v>84</v>
      </c>
      <c r="I37" s="10">
        <v>7.85</v>
      </c>
      <c r="J37" s="10">
        <v>20</v>
      </c>
      <c r="K37" s="10" t="s">
        <v>84</v>
      </c>
      <c r="L37" s="10" t="s">
        <v>84</v>
      </c>
      <c r="M37" s="10" t="s">
        <v>84</v>
      </c>
      <c r="N37" s="10" t="s">
        <v>84</v>
      </c>
      <c r="O37" s="10" t="s">
        <v>84</v>
      </c>
      <c r="P37" s="10">
        <v>9.6299999999999999E-4</v>
      </c>
      <c r="Q37" s="10">
        <v>20</v>
      </c>
      <c r="R37" s="10" t="s">
        <v>55</v>
      </c>
      <c r="S37" s="10" t="s">
        <v>55</v>
      </c>
      <c r="T37" s="10" t="s">
        <v>55</v>
      </c>
      <c r="U37" s="10" t="s">
        <v>84</v>
      </c>
      <c r="V37" s="10" t="s">
        <v>84</v>
      </c>
      <c r="W37" s="10" t="s">
        <v>84</v>
      </c>
      <c r="X37" s="10" t="s">
        <v>84</v>
      </c>
      <c r="Y37" s="10" t="s">
        <v>86</v>
      </c>
      <c r="Z37" s="10" t="s">
        <v>89</v>
      </c>
      <c r="AA37" s="10" t="s">
        <v>90</v>
      </c>
      <c r="AB37" s="10" t="s">
        <v>55</v>
      </c>
      <c r="AC37" s="10" t="s">
        <v>55</v>
      </c>
      <c r="AD37" s="10" t="s">
        <v>55</v>
      </c>
      <c r="AE37" s="10" t="s">
        <v>55</v>
      </c>
      <c r="AF37" s="10" t="s">
        <v>55</v>
      </c>
      <c r="AG37" s="10" t="s">
        <v>55</v>
      </c>
      <c r="AH37" s="12" t="s">
        <v>511</v>
      </c>
      <c r="AI37" s="12"/>
    </row>
    <row r="38" spans="1:35" ht="16.5" x14ac:dyDescent="0.3">
      <c r="A38" s="16" t="s">
        <v>698</v>
      </c>
      <c r="B38" s="11" t="str">
        <f>VLOOKUP(PhysChem_Table[[#This Row],[Marker name]],BaseInfos_Table[],3,FALSE)</f>
        <v>68585-83-1</v>
      </c>
      <c r="C38" s="11" t="s">
        <v>55</v>
      </c>
      <c r="D38" s="11" t="s">
        <v>55</v>
      </c>
      <c r="E38" s="11" t="s">
        <v>55</v>
      </c>
      <c r="F38" s="11" t="s">
        <v>55</v>
      </c>
      <c r="G38" s="11" t="s">
        <v>55</v>
      </c>
      <c r="H38" s="11" t="s">
        <v>55</v>
      </c>
      <c r="I38" s="11" t="s">
        <v>55</v>
      </c>
      <c r="J38" s="11" t="s">
        <v>55</v>
      </c>
      <c r="K38" s="11" t="s">
        <v>55</v>
      </c>
      <c r="L38" s="11" t="s">
        <v>55</v>
      </c>
      <c r="M38" s="11" t="s">
        <v>55</v>
      </c>
      <c r="N38" s="11" t="s">
        <v>55</v>
      </c>
      <c r="O38" s="11" t="s">
        <v>55</v>
      </c>
      <c r="P38" s="11" t="s">
        <v>55</v>
      </c>
      <c r="Q38" s="11" t="s">
        <v>55</v>
      </c>
      <c r="R38" s="11" t="s">
        <v>55</v>
      </c>
      <c r="S38" s="11" t="s">
        <v>55</v>
      </c>
      <c r="T38" s="11" t="s">
        <v>55</v>
      </c>
      <c r="U38" s="11" t="s">
        <v>55</v>
      </c>
      <c r="V38" s="11" t="s">
        <v>55</v>
      </c>
      <c r="W38" s="11" t="s">
        <v>55</v>
      </c>
      <c r="X38" s="11" t="s">
        <v>55</v>
      </c>
      <c r="Y38" s="11" t="s">
        <v>55</v>
      </c>
      <c r="Z38" s="11" t="s">
        <v>55</v>
      </c>
      <c r="AA38" s="11" t="s">
        <v>55</v>
      </c>
      <c r="AB38" s="11" t="s">
        <v>55</v>
      </c>
      <c r="AC38" s="11" t="s">
        <v>55</v>
      </c>
      <c r="AD38" s="11" t="s">
        <v>55</v>
      </c>
      <c r="AE38" s="11" t="s">
        <v>55</v>
      </c>
      <c r="AF38" s="11" t="s">
        <v>55</v>
      </c>
      <c r="AG38" s="11" t="s">
        <v>55</v>
      </c>
      <c r="AH38" s="11" t="s">
        <v>55</v>
      </c>
      <c r="AI38" s="11"/>
    </row>
    <row r="39" spans="1:35" x14ac:dyDescent="0.3">
      <c r="A39" s="16" t="s">
        <v>699</v>
      </c>
      <c r="B39" s="11" t="str">
        <f>VLOOKUP(PhysChem_Table[[#This Row],[Marker name]],BaseInfos_Table[],3,FALSE)</f>
        <v>68609-38-1</v>
      </c>
      <c r="C39" s="11" t="s">
        <v>55</v>
      </c>
      <c r="D39" s="11" t="s">
        <v>55</v>
      </c>
      <c r="E39" s="11" t="s">
        <v>55</v>
      </c>
      <c r="F39" s="11" t="s">
        <v>55</v>
      </c>
      <c r="G39" s="11" t="s">
        <v>55</v>
      </c>
      <c r="H39" s="11" t="s">
        <v>55</v>
      </c>
      <c r="I39" s="11" t="s">
        <v>55</v>
      </c>
      <c r="J39" s="11" t="s">
        <v>55</v>
      </c>
      <c r="K39" s="11" t="s">
        <v>55</v>
      </c>
      <c r="L39" s="11" t="s">
        <v>55</v>
      </c>
      <c r="M39" s="11" t="s">
        <v>55</v>
      </c>
      <c r="N39" s="11" t="s">
        <v>55</v>
      </c>
      <c r="O39" s="11" t="s">
        <v>55</v>
      </c>
      <c r="P39" s="11" t="s">
        <v>55</v>
      </c>
      <c r="Q39" s="11" t="s">
        <v>55</v>
      </c>
      <c r="R39" s="11" t="s">
        <v>55</v>
      </c>
      <c r="S39" s="11" t="s">
        <v>55</v>
      </c>
      <c r="T39" s="11" t="s">
        <v>55</v>
      </c>
      <c r="U39" s="11" t="s">
        <v>55</v>
      </c>
      <c r="V39" s="11" t="s">
        <v>55</v>
      </c>
      <c r="W39" s="11" t="s">
        <v>55</v>
      </c>
      <c r="X39" s="11" t="s">
        <v>55</v>
      </c>
      <c r="Y39" s="11" t="s">
        <v>55</v>
      </c>
      <c r="Z39" s="11" t="s">
        <v>55</v>
      </c>
      <c r="AA39" s="11" t="s">
        <v>55</v>
      </c>
      <c r="AB39" s="11" t="s">
        <v>55</v>
      </c>
      <c r="AC39" s="11" t="s">
        <v>55</v>
      </c>
      <c r="AD39" s="11" t="s">
        <v>55</v>
      </c>
      <c r="AE39" s="11" t="s">
        <v>55</v>
      </c>
      <c r="AF39" s="11" t="s">
        <v>55</v>
      </c>
      <c r="AG39" s="11" t="s">
        <v>55</v>
      </c>
      <c r="AH39" s="11" t="s">
        <v>55</v>
      </c>
      <c r="AI39" s="11"/>
    </row>
    <row r="40" spans="1:35" ht="16.5" x14ac:dyDescent="0.3">
      <c r="A40" s="16" t="s">
        <v>700</v>
      </c>
      <c r="B40" s="11" t="str">
        <f>VLOOKUP(PhysChem_Table[[#This Row],[Marker name]],BaseInfos_Table[],3,FALSE)</f>
        <v>n.a.</v>
      </c>
      <c r="C40" s="11" t="s">
        <v>55</v>
      </c>
      <c r="D40" s="11" t="s">
        <v>55</v>
      </c>
      <c r="E40" s="11" t="s">
        <v>55</v>
      </c>
      <c r="F40" s="11" t="s">
        <v>55</v>
      </c>
      <c r="G40" s="11" t="s">
        <v>55</v>
      </c>
      <c r="H40" s="11" t="s">
        <v>55</v>
      </c>
      <c r="I40" s="11" t="s">
        <v>55</v>
      </c>
      <c r="J40" s="11" t="s">
        <v>55</v>
      </c>
      <c r="K40" s="11" t="s">
        <v>55</v>
      </c>
      <c r="L40" s="11" t="s">
        <v>55</v>
      </c>
      <c r="M40" s="11" t="s">
        <v>55</v>
      </c>
      <c r="N40" s="11" t="s">
        <v>55</v>
      </c>
      <c r="O40" s="11" t="s">
        <v>55</v>
      </c>
      <c r="P40" s="11" t="s">
        <v>55</v>
      </c>
      <c r="Q40" s="11" t="s">
        <v>55</v>
      </c>
      <c r="R40" s="11" t="s">
        <v>55</v>
      </c>
      <c r="S40" s="11" t="s">
        <v>55</v>
      </c>
      <c r="T40" s="11" t="s">
        <v>55</v>
      </c>
      <c r="U40" s="11" t="s">
        <v>55</v>
      </c>
      <c r="V40" s="11" t="s">
        <v>55</v>
      </c>
      <c r="W40" s="11" t="s">
        <v>55</v>
      </c>
      <c r="X40" s="11" t="s">
        <v>55</v>
      </c>
      <c r="Y40" s="11" t="s">
        <v>55</v>
      </c>
      <c r="Z40" s="11" t="s">
        <v>55</v>
      </c>
      <c r="AA40" s="11" t="s">
        <v>55</v>
      </c>
      <c r="AB40" s="11" t="s">
        <v>55</v>
      </c>
      <c r="AC40" s="11" t="s">
        <v>55</v>
      </c>
      <c r="AD40" s="11" t="s">
        <v>55</v>
      </c>
      <c r="AE40" s="11" t="s">
        <v>55</v>
      </c>
      <c r="AF40" s="11" t="s">
        <v>55</v>
      </c>
      <c r="AG40" s="11" t="s">
        <v>55</v>
      </c>
      <c r="AH40" s="11" t="s">
        <v>55</v>
      </c>
      <c r="AI40" s="11"/>
    </row>
    <row r="41" spans="1:35" ht="16.5" x14ac:dyDescent="0.3">
      <c r="A41" s="16" t="s">
        <v>701</v>
      </c>
      <c r="B41" s="11" t="str">
        <f>VLOOKUP(PhysChem_Table[[#This Row],[Marker name]],BaseInfos_Table[],3,FALSE)</f>
        <v>n.a.</v>
      </c>
      <c r="C41" s="11" t="s">
        <v>55</v>
      </c>
      <c r="D41" s="11" t="s">
        <v>55</v>
      </c>
      <c r="E41" s="11" t="s">
        <v>55</v>
      </c>
      <c r="F41" s="11" t="s">
        <v>55</v>
      </c>
      <c r="G41" s="11" t="s">
        <v>55</v>
      </c>
      <c r="H41" s="11" t="s">
        <v>55</v>
      </c>
      <c r="I41" s="11" t="s">
        <v>55</v>
      </c>
      <c r="J41" s="11" t="s">
        <v>55</v>
      </c>
      <c r="K41" s="11" t="s">
        <v>55</v>
      </c>
      <c r="L41" s="11" t="s">
        <v>55</v>
      </c>
      <c r="M41" s="11" t="s">
        <v>55</v>
      </c>
      <c r="N41" s="11" t="s">
        <v>55</v>
      </c>
      <c r="O41" s="11" t="s">
        <v>55</v>
      </c>
      <c r="P41" s="11" t="s">
        <v>55</v>
      </c>
      <c r="Q41" s="11" t="s">
        <v>55</v>
      </c>
      <c r="R41" s="11" t="s">
        <v>55</v>
      </c>
      <c r="S41" s="11" t="s">
        <v>55</v>
      </c>
      <c r="T41" s="11" t="s">
        <v>55</v>
      </c>
      <c r="U41" s="11" t="s">
        <v>55</v>
      </c>
      <c r="V41" s="11" t="s">
        <v>55</v>
      </c>
      <c r="W41" s="11" t="s">
        <v>55</v>
      </c>
      <c r="X41" s="11" t="s">
        <v>55</v>
      </c>
      <c r="Y41" s="11" t="s">
        <v>55</v>
      </c>
      <c r="Z41" s="11" t="s">
        <v>55</v>
      </c>
      <c r="AA41" s="11" t="s">
        <v>55</v>
      </c>
      <c r="AB41" s="11" t="s">
        <v>55</v>
      </c>
      <c r="AC41" s="11" t="s">
        <v>55</v>
      </c>
      <c r="AD41" s="11" t="s">
        <v>55</v>
      </c>
      <c r="AE41" s="11" t="s">
        <v>55</v>
      </c>
      <c r="AF41" s="11" t="s">
        <v>55</v>
      </c>
      <c r="AG41" s="11" t="s">
        <v>55</v>
      </c>
      <c r="AH41" s="11" t="s">
        <v>55</v>
      </c>
      <c r="AI41" s="11"/>
    </row>
    <row r="42" spans="1:35" ht="16.5" x14ac:dyDescent="0.3">
      <c r="A42" s="16" t="s">
        <v>702</v>
      </c>
      <c r="B42" s="11" t="str">
        <f>VLOOKUP(PhysChem_Table[[#This Row],[Marker name]],BaseInfos_Table[],3,FALSE)</f>
        <v>n.a.</v>
      </c>
      <c r="C42" s="11" t="s">
        <v>55</v>
      </c>
      <c r="D42" s="11" t="s">
        <v>55</v>
      </c>
      <c r="E42" s="11" t="s">
        <v>55</v>
      </c>
      <c r="F42" s="11" t="s">
        <v>55</v>
      </c>
      <c r="G42" s="11" t="s">
        <v>55</v>
      </c>
      <c r="H42" s="11" t="s">
        <v>55</v>
      </c>
      <c r="I42" s="11" t="s">
        <v>55</v>
      </c>
      <c r="J42" s="11" t="s">
        <v>55</v>
      </c>
      <c r="K42" s="11" t="s">
        <v>55</v>
      </c>
      <c r="L42" s="11" t="s">
        <v>55</v>
      </c>
      <c r="M42" s="11" t="s">
        <v>55</v>
      </c>
      <c r="N42" s="11" t="s">
        <v>55</v>
      </c>
      <c r="O42" s="11" t="s">
        <v>55</v>
      </c>
      <c r="P42" s="11" t="s">
        <v>55</v>
      </c>
      <c r="Q42" s="11" t="s">
        <v>55</v>
      </c>
      <c r="R42" s="11" t="s">
        <v>55</v>
      </c>
      <c r="S42" s="11" t="s">
        <v>55</v>
      </c>
      <c r="T42" s="11" t="s">
        <v>55</v>
      </c>
      <c r="U42" s="11" t="s">
        <v>55</v>
      </c>
      <c r="V42" s="11" t="s">
        <v>55</v>
      </c>
      <c r="W42" s="11" t="s">
        <v>55</v>
      </c>
      <c r="X42" s="11" t="s">
        <v>55</v>
      </c>
      <c r="Y42" s="11" t="s">
        <v>55</v>
      </c>
      <c r="Z42" s="11" t="s">
        <v>55</v>
      </c>
      <c r="AA42" s="11" t="s">
        <v>55</v>
      </c>
      <c r="AB42" s="11" t="s">
        <v>55</v>
      </c>
      <c r="AC42" s="11" t="s">
        <v>55</v>
      </c>
      <c r="AD42" s="11" t="s">
        <v>55</v>
      </c>
      <c r="AE42" s="11" t="s">
        <v>55</v>
      </c>
      <c r="AF42" s="11" t="s">
        <v>55</v>
      </c>
      <c r="AG42" s="11" t="s">
        <v>55</v>
      </c>
      <c r="AH42" s="11" t="s">
        <v>55</v>
      </c>
      <c r="AI42" s="11"/>
    </row>
    <row r="43" spans="1:35" x14ac:dyDescent="0.3">
      <c r="A43" s="16" t="s">
        <v>703</v>
      </c>
      <c r="B43" s="11" t="str">
        <f>VLOOKUP(PhysChem_Table[[#This Row],[Marker name]],BaseInfos_Table[],3,FALSE)</f>
        <v>12024-21-4</v>
      </c>
      <c r="C43" s="11" t="s">
        <v>55</v>
      </c>
      <c r="D43" s="11" t="s">
        <v>55</v>
      </c>
      <c r="E43" s="11" t="s">
        <v>55</v>
      </c>
      <c r="F43" s="11" t="s">
        <v>55</v>
      </c>
      <c r="G43" s="11" t="s">
        <v>55</v>
      </c>
      <c r="H43" s="11" t="s">
        <v>55</v>
      </c>
      <c r="I43" s="11" t="s">
        <v>55</v>
      </c>
      <c r="J43" s="11" t="s">
        <v>55</v>
      </c>
      <c r="K43" s="11" t="s">
        <v>55</v>
      </c>
      <c r="L43" s="11" t="s">
        <v>55</v>
      </c>
      <c r="M43" s="11" t="s">
        <v>55</v>
      </c>
      <c r="N43" s="11" t="s">
        <v>55</v>
      </c>
      <c r="O43" s="11" t="s">
        <v>55</v>
      </c>
      <c r="P43" s="11" t="s">
        <v>55</v>
      </c>
      <c r="Q43" s="11" t="s">
        <v>55</v>
      </c>
      <c r="R43" s="11" t="s">
        <v>55</v>
      </c>
      <c r="S43" s="11" t="s">
        <v>55</v>
      </c>
      <c r="T43" s="11" t="s">
        <v>55</v>
      </c>
      <c r="U43" s="11" t="s">
        <v>55</v>
      </c>
      <c r="V43" s="11" t="s">
        <v>55</v>
      </c>
      <c r="W43" s="11" t="s">
        <v>55</v>
      </c>
      <c r="X43" s="11" t="s">
        <v>55</v>
      </c>
      <c r="Y43" s="11" t="s">
        <v>55</v>
      </c>
      <c r="Z43" s="11" t="s">
        <v>55</v>
      </c>
      <c r="AA43" s="11" t="s">
        <v>55</v>
      </c>
      <c r="AB43" s="11" t="s">
        <v>55</v>
      </c>
      <c r="AC43" s="11" t="s">
        <v>55</v>
      </c>
      <c r="AD43" s="11" t="s">
        <v>55</v>
      </c>
      <c r="AE43" s="11" t="s">
        <v>55</v>
      </c>
      <c r="AF43" s="11" t="s">
        <v>55</v>
      </c>
      <c r="AG43" s="11" t="s">
        <v>55</v>
      </c>
      <c r="AH43" s="11" t="s">
        <v>55</v>
      </c>
      <c r="AI43" s="11"/>
    </row>
    <row r="44" spans="1:35" ht="16.5" x14ac:dyDescent="0.3">
      <c r="A44" s="16" t="s">
        <v>704</v>
      </c>
      <c r="B44" s="11" t="str">
        <f>VLOOKUP(PhysChem_Table[[#This Row],[Marker name]],BaseInfos_Table[],3,FALSE)</f>
        <v>n.a.</v>
      </c>
      <c r="C44" s="11" t="s">
        <v>55</v>
      </c>
      <c r="D44" s="11" t="s">
        <v>55</v>
      </c>
      <c r="E44" s="11" t="s">
        <v>55</v>
      </c>
      <c r="F44" s="11" t="s">
        <v>55</v>
      </c>
      <c r="G44" s="11" t="s">
        <v>55</v>
      </c>
      <c r="H44" s="11" t="s">
        <v>55</v>
      </c>
      <c r="I44" s="11" t="s">
        <v>55</v>
      </c>
      <c r="J44" s="11" t="s">
        <v>55</v>
      </c>
      <c r="K44" s="11" t="s">
        <v>55</v>
      </c>
      <c r="L44" s="11" t="s">
        <v>55</v>
      </c>
      <c r="M44" s="11" t="s">
        <v>55</v>
      </c>
      <c r="N44" s="11" t="s">
        <v>55</v>
      </c>
      <c r="O44" s="11" t="s">
        <v>55</v>
      </c>
      <c r="P44" s="11" t="s">
        <v>55</v>
      </c>
      <c r="Q44" s="11" t="s">
        <v>55</v>
      </c>
      <c r="R44" s="11" t="s">
        <v>55</v>
      </c>
      <c r="S44" s="11" t="s">
        <v>55</v>
      </c>
      <c r="T44" s="11" t="s">
        <v>55</v>
      </c>
      <c r="U44" s="11" t="s">
        <v>55</v>
      </c>
      <c r="V44" s="11" t="s">
        <v>55</v>
      </c>
      <c r="W44" s="11" t="s">
        <v>55</v>
      </c>
      <c r="X44" s="11" t="s">
        <v>55</v>
      </c>
      <c r="Y44" s="11" t="s">
        <v>55</v>
      </c>
      <c r="Z44" s="11" t="s">
        <v>55</v>
      </c>
      <c r="AA44" s="11" t="s">
        <v>55</v>
      </c>
      <c r="AB44" s="11" t="s">
        <v>55</v>
      </c>
      <c r="AC44" s="11" t="s">
        <v>55</v>
      </c>
      <c r="AD44" s="11" t="s">
        <v>55</v>
      </c>
      <c r="AE44" s="11" t="s">
        <v>55</v>
      </c>
      <c r="AF44" s="11" t="s">
        <v>55</v>
      </c>
      <c r="AG44" s="11" t="s">
        <v>55</v>
      </c>
      <c r="AH44" s="11" t="s">
        <v>55</v>
      </c>
      <c r="AI44" s="11"/>
    </row>
    <row r="45" spans="1:35" ht="16.5" x14ac:dyDescent="0.3">
      <c r="A45" s="16" t="s">
        <v>705</v>
      </c>
      <c r="B45" s="11" t="str">
        <f>VLOOKUP(PhysChem_Table[[#This Row],[Marker name]],BaseInfos_Table[],3,FALSE)</f>
        <v>n.a.</v>
      </c>
      <c r="C45" s="11" t="s">
        <v>55</v>
      </c>
      <c r="D45" s="11" t="s">
        <v>55</v>
      </c>
      <c r="E45" s="11" t="s">
        <v>55</v>
      </c>
      <c r="F45" s="11" t="s">
        <v>55</v>
      </c>
      <c r="G45" s="11" t="s">
        <v>55</v>
      </c>
      <c r="H45" s="11" t="s">
        <v>55</v>
      </c>
      <c r="I45" s="11" t="s">
        <v>55</v>
      </c>
      <c r="J45" s="11" t="s">
        <v>55</v>
      </c>
      <c r="K45" s="11" t="s">
        <v>55</v>
      </c>
      <c r="L45" s="11" t="s">
        <v>55</v>
      </c>
      <c r="M45" s="11" t="s">
        <v>55</v>
      </c>
      <c r="N45" s="11" t="s">
        <v>55</v>
      </c>
      <c r="O45" s="11" t="s">
        <v>55</v>
      </c>
      <c r="P45" s="11" t="s">
        <v>55</v>
      </c>
      <c r="Q45" s="11" t="s">
        <v>55</v>
      </c>
      <c r="R45" s="11" t="s">
        <v>55</v>
      </c>
      <c r="S45" s="11" t="s">
        <v>55</v>
      </c>
      <c r="T45" s="11" t="s">
        <v>55</v>
      </c>
      <c r="U45" s="11" t="s">
        <v>55</v>
      </c>
      <c r="V45" s="11" t="s">
        <v>55</v>
      </c>
      <c r="W45" s="11" t="s">
        <v>55</v>
      </c>
      <c r="X45" s="11" t="s">
        <v>55</v>
      </c>
      <c r="Y45" s="11" t="s">
        <v>55</v>
      </c>
      <c r="Z45" s="11" t="s">
        <v>55</v>
      </c>
      <c r="AA45" s="11" t="s">
        <v>55</v>
      </c>
      <c r="AB45" s="11" t="s">
        <v>55</v>
      </c>
      <c r="AC45" s="11" t="s">
        <v>55</v>
      </c>
      <c r="AD45" s="11" t="s">
        <v>55</v>
      </c>
      <c r="AE45" s="11" t="s">
        <v>55</v>
      </c>
      <c r="AF45" s="11" t="s">
        <v>55</v>
      </c>
      <c r="AG45" s="11" t="s">
        <v>55</v>
      </c>
      <c r="AH45" s="11" t="s">
        <v>55</v>
      </c>
      <c r="AI45" s="11"/>
    </row>
    <row r="46" spans="1:35" x14ac:dyDescent="0.3">
      <c r="A46" s="10" t="s">
        <v>706</v>
      </c>
      <c r="B46" s="11" t="str">
        <f>VLOOKUP(PhysChem_Table[[#This Row],[Marker name]],BaseInfos_Table[],3,FALSE)</f>
        <v>12036-44-1</v>
      </c>
      <c r="C46" s="10" t="s">
        <v>247</v>
      </c>
      <c r="D46" s="10" t="s">
        <v>93</v>
      </c>
      <c r="E46" s="10">
        <v>2425</v>
      </c>
      <c r="F46" s="10" t="s">
        <v>83</v>
      </c>
      <c r="G46" s="10" t="s">
        <v>55</v>
      </c>
      <c r="H46" s="10" t="s">
        <v>55</v>
      </c>
      <c r="I46" s="10" t="s">
        <v>55</v>
      </c>
      <c r="J46" s="10" t="s">
        <v>55</v>
      </c>
      <c r="K46" s="10" t="s">
        <v>55</v>
      </c>
      <c r="L46" s="10" t="s">
        <v>55</v>
      </c>
      <c r="M46" s="10" t="s">
        <v>55</v>
      </c>
      <c r="N46" s="10">
        <v>-0.36299999999999999</v>
      </c>
      <c r="O46" s="10" t="s">
        <v>83</v>
      </c>
      <c r="P46" s="10" t="s">
        <v>55</v>
      </c>
      <c r="Q46" s="10" t="s">
        <v>55</v>
      </c>
      <c r="R46" s="10" t="s">
        <v>55</v>
      </c>
      <c r="S46" s="10" t="s">
        <v>55</v>
      </c>
      <c r="T46" s="10" t="s">
        <v>55</v>
      </c>
      <c r="U46" s="10" t="s">
        <v>55</v>
      </c>
      <c r="V46" s="10" t="s">
        <v>55</v>
      </c>
      <c r="W46" s="10" t="s">
        <v>55</v>
      </c>
      <c r="X46" s="10" t="s">
        <v>55</v>
      </c>
      <c r="Y46" s="10" t="s">
        <v>55</v>
      </c>
      <c r="Z46" s="10" t="s">
        <v>55</v>
      </c>
      <c r="AA46" s="10" t="s">
        <v>55</v>
      </c>
      <c r="AB46" s="10" t="s">
        <v>55</v>
      </c>
      <c r="AC46" s="10" t="s">
        <v>55</v>
      </c>
      <c r="AD46" s="10" t="s">
        <v>55</v>
      </c>
      <c r="AE46" s="10" t="s">
        <v>55</v>
      </c>
      <c r="AF46" s="10" t="s">
        <v>55</v>
      </c>
      <c r="AG46" s="10" t="s">
        <v>55</v>
      </c>
      <c r="AH46" s="12" t="s">
        <v>512</v>
      </c>
      <c r="AI46" s="12"/>
    </row>
    <row r="47" spans="1:35" x14ac:dyDescent="0.3">
      <c r="A47" s="10" t="s">
        <v>707</v>
      </c>
      <c r="B47" s="11" t="str">
        <f>VLOOKUP(PhysChem_Table[[#This Row],[Marker name]],BaseInfos_Table[],3,FALSE)</f>
        <v>12037-01-3</v>
      </c>
      <c r="C47" s="10" t="s">
        <v>247</v>
      </c>
      <c r="D47" s="10" t="s">
        <v>313</v>
      </c>
      <c r="E47" s="10">
        <v>2340</v>
      </c>
      <c r="F47" s="10" t="s">
        <v>83</v>
      </c>
      <c r="G47" s="10" t="s">
        <v>55</v>
      </c>
      <c r="H47" s="10" t="s">
        <v>55</v>
      </c>
      <c r="I47" s="10" t="s">
        <v>55</v>
      </c>
      <c r="J47" s="10" t="s">
        <v>55</v>
      </c>
      <c r="K47" s="10" t="s">
        <v>55</v>
      </c>
      <c r="L47" s="10" t="s">
        <v>55</v>
      </c>
      <c r="M47" s="10" t="s">
        <v>55</v>
      </c>
      <c r="N47" s="10" t="s">
        <v>55</v>
      </c>
      <c r="O47" s="10" t="s">
        <v>55</v>
      </c>
      <c r="P47" s="10" t="s">
        <v>55</v>
      </c>
      <c r="Q47" s="10" t="s">
        <v>55</v>
      </c>
      <c r="R47" s="10" t="s">
        <v>55</v>
      </c>
      <c r="S47" s="10" t="s">
        <v>55</v>
      </c>
      <c r="T47" s="10" t="s">
        <v>55</v>
      </c>
      <c r="U47" s="10" t="s">
        <v>55</v>
      </c>
      <c r="V47" s="10" t="s">
        <v>55</v>
      </c>
      <c r="W47" s="10" t="s">
        <v>55</v>
      </c>
      <c r="X47" s="10" t="s">
        <v>55</v>
      </c>
      <c r="Y47" s="10" t="s">
        <v>55</v>
      </c>
      <c r="Z47" s="10" t="s">
        <v>55</v>
      </c>
      <c r="AA47" s="10" t="s">
        <v>55</v>
      </c>
      <c r="AB47" s="10" t="s">
        <v>55</v>
      </c>
      <c r="AC47" s="10" t="s">
        <v>55</v>
      </c>
      <c r="AD47" s="10" t="s">
        <v>55</v>
      </c>
      <c r="AE47" s="10" t="s">
        <v>55</v>
      </c>
      <c r="AF47" s="10" t="s">
        <v>55</v>
      </c>
      <c r="AG47" s="10" t="s">
        <v>55</v>
      </c>
      <c r="AH47" s="12" t="s">
        <v>660</v>
      </c>
      <c r="AI47" s="12" t="s">
        <v>661</v>
      </c>
    </row>
    <row r="48" spans="1:35" x14ac:dyDescent="0.3">
      <c r="A48" s="10" t="s">
        <v>708</v>
      </c>
      <c r="B48" s="11" t="str">
        <f>VLOOKUP(PhysChem_Table[[#This Row],[Marker name]],BaseInfos_Table[],3,FALSE)</f>
        <v>12036-41-8</v>
      </c>
      <c r="C48" s="10" t="s">
        <v>247</v>
      </c>
      <c r="D48" s="10" t="s">
        <v>81</v>
      </c>
      <c r="E48" s="10" t="s">
        <v>55</v>
      </c>
      <c r="F48" s="10" t="s">
        <v>55</v>
      </c>
      <c r="G48" s="10" t="s">
        <v>55</v>
      </c>
      <c r="H48" s="10" t="s">
        <v>55</v>
      </c>
      <c r="I48" s="10" t="s">
        <v>55</v>
      </c>
      <c r="J48" s="10" t="s">
        <v>55</v>
      </c>
      <c r="K48" s="10" t="s">
        <v>55</v>
      </c>
      <c r="L48" s="10" t="s">
        <v>55</v>
      </c>
      <c r="M48" s="10" t="s">
        <v>55</v>
      </c>
      <c r="N48" s="10" t="s">
        <v>55</v>
      </c>
      <c r="O48" s="10" t="s">
        <v>55</v>
      </c>
      <c r="P48" s="10" t="s">
        <v>55</v>
      </c>
      <c r="Q48" s="10" t="s">
        <v>55</v>
      </c>
      <c r="R48" s="10" t="s">
        <v>55</v>
      </c>
      <c r="S48" s="10" t="s">
        <v>55</v>
      </c>
      <c r="T48" s="10" t="s">
        <v>55</v>
      </c>
      <c r="U48" s="10" t="s">
        <v>55</v>
      </c>
      <c r="V48" s="10" t="s">
        <v>55</v>
      </c>
      <c r="W48" s="10" t="s">
        <v>55</v>
      </c>
      <c r="X48" s="10" t="s">
        <v>55</v>
      </c>
      <c r="Y48" s="10" t="s">
        <v>55</v>
      </c>
      <c r="Z48" s="10" t="s">
        <v>55</v>
      </c>
      <c r="AA48" s="10" t="s">
        <v>55</v>
      </c>
      <c r="AB48" s="10" t="s">
        <v>55</v>
      </c>
      <c r="AC48" s="10" t="s">
        <v>55</v>
      </c>
      <c r="AD48" s="10" t="s">
        <v>55</v>
      </c>
      <c r="AE48" s="10" t="s">
        <v>55</v>
      </c>
      <c r="AF48" s="10" t="s">
        <v>55</v>
      </c>
      <c r="AG48" s="10" t="s">
        <v>55</v>
      </c>
      <c r="AH48" s="12" t="s">
        <v>513</v>
      </c>
      <c r="AI48" s="12"/>
    </row>
    <row r="49" spans="1:35" x14ac:dyDescent="0.3">
      <c r="A49" s="10" t="s">
        <v>434</v>
      </c>
      <c r="B49" s="11" t="str">
        <f>VLOOKUP(PhysChem_Table[[#This Row],[Marker name]],BaseInfos_Table[],3,FALSE)</f>
        <v>578-95-0</v>
      </c>
      <c r="C49" s="10" t="s">
        <v>247</v>
      </c>
      <c r="D49" s="10" t="s">
        <v>435</v>
      </c>
      <c r="E49" s="10">
        <v>300</v>
      </c>
      <c r="F49" s="10" t="s">
        <v>83</v>
      </c>
      <c r="G49" s="10">
        <v>355</v>
      </c>
      <c r="H49" s="10" t="s">
        <v>83</v>
      </c>
      <c r="I49" s="10">
        <v>1.2</v>
      </c>
      <c r="J49" s="10" t="s">
        <v>83</v>
      </c>
      <c r="K49" s="10" t="s">
        <v>55</v>
      </c>
      <c r="L49" s="10" t="s">
        <v>55</v>
      </c>
      <c r="M49" s="10" t="s">
        <v>55</v>
      </c>
      <c r="N49" s="10">
        <v>2.57</v>
      </c>
      <c r="O49" s="10" t="s">
        <v>83</v>
      </c>
      <c r="P49" s="10" t="s">
        <v>55</v>
      </c>
      <c r="Q49" s="10" t="s">
        <v>55</v>
      </c>
      <c r="R49" s="10" t="s">
        <v>55</v>
      </c>
      <c r="S49" s="10" t="s">
        <v>55</v>
      </c>
      <c r="T49" s="10" t="s">
        <v>55</v>
      </c>
      <c r="U49" s="10" t="s">
        <v>55</v>
      </c>
      <c r="V49" s="10">
        <v>155</v>
      </c>
      <c r="W49" s="10" t="s">
        <v>83</v>
      </c>
      <c r="X49" s="10" t="s">
        <v>55</v>
      </c>
      <c r="Y49" s="10" t="s">
        <v>55</v>
      </c>
      <c r="Z49" s="10" t="s">
        <v>55</v>
      </c>
      <c r="AA49" s="10" t="s">
        <v>55</v>
      </c>
      <c r="AB49" s="10" t="s">
        <v>55</v>
      </c>
      <c r="AC49" s="10" t="s">
        <v>55</v>
      </c>
      <c r="AD49" s="10" t="s">
        <v>55</v>
      </c>
      <c r="AE49" s="10" t="s">
        <v>55</v>
      </c>
      <c r="AF49" s="10" t="s">
        <v>55</v>
      </c>
      <c r="AG49" s="10" t="s">
        <v>55</v>
      </c>
      <c r="AH49" s="12" t="s">
        <v>436</v>
      </c>
      <c r="AI49" s="12"/>
    </row>
    <row r="50" spans="1:35" x14ac:dyDescent="0.3">
      <c r="A50" s="10" t="s">
        <v>439</v>
      </c>
      <c r="B50" s="11" t="str">
        <f>VLOOKUP(PhysChem_Table[[#This Row],[Marker name]],BaseInfos_Table[],3,FALSE)</f>
        <v>38609-97-1</v>
      </c>
      <c r="C50" s="10" t="s">
        <v>289</v>
      </c>
      <c r="D50" s="10" t="s">
        <v>514</v>
      </c>
      <c r="E50" s="10">
        <v>289</v>
      </c>
      <c r="F50" s="10" t="s">
        <v>83</v>
      </c>
      <c r="G50" s="10">
        <v>486</v>
      </c>
      <c r="H50" s="10" t="s">
        <v>83</v>
      </c>
      <c r="I50" s="10">
        <v>1.3620000000000001</v>
      </c>
      <c r="J50" s="10" t="s">
        <v>83</v>
      </c>
      <c r="K50" s="10" t="s">
        <v>55</v>
      </c>
      <c r="L50" s="10" t="s">
        <v>55</v>
      </c>
      <c r="M50" s="10" t="s">
        <v>55</v>
      </c>
      <c r="N50" s="10">
        <v>1.327</v>
      </c>
      <c r="O50" s="10" t="s">
        <v>83</v>
      </c>
      <c r="P50" s="10" t="s">
        <v>55</v>
      </c>
      <c r="Q50" s="10" t="s">
        <v>55</v>
      </c>
      <c r="R50" s="10" t="s">
        <v>643</v>
      </c>
      <c r="S50" s="10">
        <v>25.3</v>
      </c>
      <c r="T50" s="10" t="s">
        <v>83</v>
      </c>
      <c r="U50" s="10" t="s">
        <v>55</v>
      </c>
      <c r="V50" s="10" t="s">
        <v>55</v>
      </c>
      <c r="W50" s="10" t="s">
        <v>55</v>
      </c>
      <c r="X50" s="10" t="s">
        <v>55</v>
      </c>
      <c r="Y50" s="10" t="s">
        <v>55</v>
      </c>
      <c r="Z50" s="10" t="s">
        <v>55</v>
      </c>
      <c r="AA50" s="10" t="s">
        <v>55</v>
      </c>
      <c r="AB50" s="10" t="s">
        <v>55</v>
      </c>
      <c r="AC50" s="10" t="s">
        <v>55</v>
      </c>
      <c r="AD50" s="10" t="s">
        <v>55</v>
      </c>
      <c r="AE50" s="10" t="s">
        <v>55</v>
      </c>
      <c r="AF50" s="10" t="s">
        <v>55</v>
      </c>
      <c r="AG50" s="10" t="s">
        <v>55</v>
      </c>
      <c r="AH50" s="12" t="s">
        <v>659</v>
      </c>
      <c r="AI50" s="12" t="s">
        <v>658</v>
      </c>
    </row>
    <row r="51" spans="1:35" x14ac:dyDescent="0.3">
      <c r="A51" s="10" t="s">
        <v>437</v>
      </c>
      <c r="B51" s="11" t="str">
        <f>VLOOKUP(PhysChem_Table[[#This Row],[Marker name]],BaseInfos_Table[],3,FALSE)</f>
        <v>n.a.</v>
      </c>
      <c r="C51" s="11" t="s">
        <v>55</v>
      </c>
      <c r="D51" s="11" t="s">
        <v>55</v>
      </c>
      <c r="E51" s="11" t="s">
        <v>55</v>
      </c>
      <c r="F51" s="11" t="s">
        <v>55</v>
      </c>
      <c r="G51" s="11" t="s">
        <v>55</v>
      </c>
      <c r="H51" s="11" t="s">
        <v>55</v>
      </c>
      <c r="I51" s="11" t="s">
        <v>55</v>
      </c>
      <c r="J51" s="11" t="s">
        <v>55</v>
      </c>
      <c r="K51" s="11" t="s">
        <v>55</v>
      </c>
      <c r="L51" s="11" t="s">
        <v>55</v>
      </c>
      <c r="M51" s="11" t="s">
        <v>55</v>
      </c>
      <c r="N51" s="11" t="s">
        <v>55</v>
      </c>
      <c r="O51" s="11" t="s">
        <v>55</v>
      </c>
      <c r="P51" s="11" t="s">
        <v>55</v>
      </c>
      <c r="Q51" s="11" t="s">
        <v>55</v>
      </c>
      <c r="R51" s="11" t="s">
        <v>55</v>
      </c>
      <c r="S51" s="11" t="s">
        <v>55</v>
      </c>
      <c r="T51" s="11" t="s">
        <v>55</v>
      </c>
      <c r="U51" s="11" t="s">
        <v>55</v>
      </c>
      <c r="V51" s="11" t="s">
        <v>55</v>
      </c>
      <c r="W51" s="11" t="s">
        <v>55</v>
      </c>
      <c r="X51" s="11" t="s">
        <v>55</v>
      </c>
      <c r="Y51" s="11" t="s">
        <v>55</v>
      </c>
      <c r="Z51" s="11" t="s">
        <v>55</v>
      </c>
      <c r="AA51" s="11" t="s">
        <v>55</v>
      </c>
      <c r="AB51" s="11" t="s">
        <v>55</v>
      </c>
      <c r="AC51" s="11" t="s">
        <v>55</v>
      </c>
      <c r="AD51" s="11" t="s">
        <v>55</v>
      </c>
      <c r="AE51" s="11" t="s">
        <v>55</v>
      </c>
      <c r="AF51" s="11" t="s">
        <v>55</v>
      </c>
      <c r="AG51" s="11" t="s">
        <v>55</v>
      </c>
      <c r="AH51" s="11" t="s">
        <v>55</v>
      </c>
      <c r="AI51" s="11"/>
    </row>
    <row r="52" spans="1:35" x14ac:dyDescent="0.3">
      <c r="A52" s="10" t="s">
        <v>438</v>
      </c>
      <c r="B52" s="11" t="str">
        <f>VLOOKUP(PhysChem_Table[[#This Row],[Marker name]],BaseInfos_Table[],3,FALSE)</f>
        <v>n.a.</v>
      </c>
      <c r="C52" s="11" t="s">
        <v>55</v>
      </c>
      <c r="D52" s="11" t="s">
        <v>55</v>
      </c>
      <c r="E52" s="11" t="s">
        <v>55</v>
      </c>
      <c r="F52" s="11" t="s">
        <v>55</v>
      </c>
      <c r="G52" s="11" t="s">
        <v>55</v>
      </c>
      <c r="H52" s="11" t="s">
        <v>55</v>
      </c>
      <c r="I52" s="11" t="s">
        <v>55</v>
      </c>
      <c r="J52" s="11" t="s">
        <v>55</v>
      </c>
      <c r="K52" s="11" t="s">
        <v>55</v>
      </c>
      <c r="L52" s="11" t="s">
        <v>55</v>
      </c>
      <c r="M52" s="11" t="s">
        <v>55</v>
      </c>
      <c r="N52" s="11" t="s">
        <v>55</v>
      </c>
      <c r="O52" s="11" t="s">
        <v>55</v>
      </c>
      <c r="P52" s="11" t="s">
        <v>55</v>
      </c>
      <c r="Q52" s="11" t="s">
        <v>55</v>
      </c>
      <c r="R52" s="11" t="s">
        <v>55</v>
      </c>
      <c r="S52" s="11" t="s">
        <v>55</v>
      </c>
      <c r="T52" s="11" t="s">
        <v>55</v>
      </c>
      <c r="U52" s="11" t="s">
        <v>55</v>
      </c>
      <c r="V52" s="11" t="s">
        <v>55</v>
      </c>
      <c r="W52" s="11" t="s">
        <v>55</v>
      </c>
      <c r="X52" s="11" t="s">
        <v>55</v>
      </c>
      <c r="Y52" s="11" t="s">
        <v>55</v>
      </c>
      <c r="Z52" s="11" t="s">
        <v>55</v>
      </c>
      <c r="AA52" s="11" t="s">
        <v>55</v>
      </c>
      <c r="AB52" s="11" t="s">
        <v>55</v>
      </c>
      <c r="AC52" s="11" t="s">
        <v>55</v>
      </c>
      <c r="AD52" s="11" t="s">
        <v>55</v>
      </c>
      <c r="AE52" s="11" t="s">
        <v>55</v>
      </c>
      <c r="AF52" s="11" t="s">
        <v>55</v>
      </c>
      <c r="AG52" s="11" t="s">
        <v>55</v>
      </c>
      <c r="AH52" s="11" t="s">
        <v>55</v>
      </c>
      <c r="AI52" s="11"/>
    </row>
    <row r="53" spans="1:35" x14ac:dyDescent="0.3">
      <c r="A53" s="10" t="s">
        <v>442</v>
      </c>
      <c r="B53" s="11" t="str">
        <f>VLOOKUP(PhysChem_Table[[#This Row],[Marker name]],BaseInfos_Table[],3,FALSE)</f>
        <v>n.a.</v>
      </c>
      <c r="C53" s="11" t="s">
        <v>55</v>
      </c>
      <c r="D53" s="11" t="s">
        <v>55</v>
      </c>
      <c r="E53" s="11" t="s">
        <v>55</v>
      </c>
      <c r="F53" s="11" t="s">
        <v>55</v>
      </c>
      <c r="G53" s="11" t="s">
        <v>55</v>
      </c>
      <c r="H53" s="11" t="s">
        <v>55</v>
      </c>
      <c r="I53" s="11" t="s">
        <v>55</v>
      </c>
      <c r="J53" s="11" t="s">
        <v>55</v>
      </c>
      <c r="K53" s="11" t="s">
        <v>55</v>
      </c>
      <c r="L53" s="11" t="s">
        <v>55</v>
      </c>
      <c r="M53" s="11" t="s">
        <v>55</v>
      </c>
      <c r="N53" s="11" t="s">
        <v>55</v>
      </c>
      <c r="O53" s="11" t="s">
        <v>55</v>
      </c>
      <c r="P53" s="11" t="s">
        <v>55</v>
      </c>
      <c r="Q53" s="11" t="s">
        <v>55</v>
      </c>
      <c r="R53" s="11" t="s">
        <v>55</v>
      </c>
      <c r="S53" s="11" t="s">
        <v>55</v>
      </c>
      <c r="T53" s="11" t="s">
        <v>55</v>
      </c>
      <c r="U53" s="11" t="s">
        <v>55</v>
      </c>
      <c r="V53" s="11" t="s">
        <v>55</v>
      </c>
      <c r="W53" s="11" t="s">
        <v>55</v>
      </c>
      <c r="X53" s="11" t="s">
        <v>55</v>
      </c>
      <c r="Y53" s="11" t="s">
        <v>55</v>
      </c>
      <c r="Z53" s="11" t="s">
        <v>55</v>
      </c>
      <c r="AA53" s="11" t="s">
        <v>55</v>
      </c>
      <c r="AB53" s="11" t="s">
        <v>55</v>
      </c>
      <c r="AC53" s="11" t="s">
        <v>55</v>
      </c>
      <c r="AD53" s="11" t="s">
        <v>55</v>
      </c>
      <c r="AE53" s="11" t="s">
        <v>55</v>
      </c>
      <c r="AF53" s="11" t="s">
        <v>55</v>
      </c>
      <c r="AG53" s="11" t="s">
        <v>55</v>
      </c>
      <c r="AH53" s="11" t="s">
        <v>55</v>
      </c>
      <c r="AI53" s="11"/>
    </row>
    <row r="54" spans="1:35" x14ac:dyDescent="0.3">
      <c r="A54" s="10" t="s">
        <v>443</v>
      </c>
      <c r="B54" s="11" t="str">
        <f>VLOOKUP(PhysChem_Table[[#This Row],[Marker name]],BaseInfos_Table[],3,FALSE)</f>
        <v>n.a.</v>
      </c>
      <c r="C54" s="11" t="s">
        <v>55</v>
      </c>
      <c r="D54" s="11" t="s">
        <v>55</v>
      </c>
      <c r="E54" s="11" t="s">
        <v>55</v>
      </c>
      <c r="F54" s="11" t="s">
        <v>55</v>
      </c>
      <c r="G54" s="11" t="s">
        <v>55</v>
      </c>
      <c r="H54" s="11" t="s">
        <v>55</v>
      </c>
      <c r="I54" s="11" t="s">
        <v>55</v>
      </c>
      <c r="J54" s="11" t="s">
        <v>55</v>
      </c>
      <c r="K54" s="11" t="s">
        <v>55</v>
      </c>
      <c r="L54" s="11" t="s">
        <v>55</v>
      </c>
      <c r="M54" s="11" t="s">
        <v>55</v>
      </c>
      <c r="N54" s="11" t="s">
        <v>55</v>
      </c>
      <c r="O54" s="11" t="s">
        <v>55</v>
      </c>
      <c r="P54" s="11" t="s">
        <v>55</v>
      </c>
      <c r="Q54" s="11" t="s">
        <v>55</v>
      </c>
      <c r="R54" s="11" t="s">
        <v>55</v>
      </c>
      <c r="S54" s="11" t="s">
        <v>55</v>
      </c>
      <c r="T54" s="11" t="s">
        <v>55</v>
      </c>
      <c r="U54" s="11" t="s">
        <v>55</v>
      </c>
      <c r="V54" s="11" t="s">
        <v>55</v>
      </c>
      <c r="W54" s="11" t="s">
        <v>55</v>
      </c>
      <c r="X54" s="11" t="s">
        <v>55</v>
      </c>
      <c r="Y54" s="11" t="s">
        <v>55</v>
      </c>
      <c r="Z54" s="11" t="s">
        <v>55</v>
      </c>
      <c r="AA54" s="11" t="s">
        <v>55</v>
      </c>
      <c r="AB54" s="11" t="s">
        <v>55</v>
      </c>
      <c r="AC54" s="11" t="s">
        <v>55</v>
      </c>
      <c r="AD54" s="11" t="s">
        <v>55</v>
      </c>
      <c r="AE54" s="11" t="s">
        <v>55</v>
      </c>
      <c r="AF54" s="11" t="s">
        <v>55</v>
      </c>
      <c r="AG54" s="11" t="s">
        <v>55</v>
      </c>
      <c r="AH54" s="11" t="s">
        <v>55</v>
      </c>
      <c r="AI54" s="11"/>
    </row>
    <row r="55" spans="1:35" x14ac:dyDescent="0.3">
      <c r="A55" s="10" t="s">
        <v>444</v>
      </c>
      <c r="B55" s="11" t="str">
        <f>VLOOKUP(PhysChem_Table[[#This Row],[Marker name]],BaseInfos_Table[],3,FALSE)</f>
        <v>n.a.</v>
      </c>
      <c r="C55" s="11" t="s">
        <v>55</v>
      </c>
      <c r="D55" s="11" t="s">
        <v>55</v>
      </c>
      <c r="E55" s="11" t="s">
        <v>55</v>
      </c>
      <c r="F55" s="11" t="s">
        <v>55</v>
      </c>
      <c r="G55" s="11" t="s">
        <v>55</v>
      </c>
      <c r="H55" s="11" t="s">
        <v>55</v>
      </c>
      <c r="I55" s="11" t="s">
        <v>55</v>
      </c>
      <c r="J55" s="11" t="s">
        <v>55</v>
      </c>
      <c r="K55" s="11" t="s">
        <v>55</v>
      </c>
      <c r="L55" s="11" t="s">
        <v>55</v>
      </c>
      <c r="M55" s="11" t="s">
        <v>55</v>
      </c>
      <c r="N55" s="11" t="s">
        <v>55</v>
      </c>
      <c r="O55" s="11" t="s">
        <v>55</v>
      </c>
      <c r="P55" s="11" t="s">
        <v>55</v>
      </c>
      <c r="Q55" s="11" t="s">
        <v>55</v>
      </c>
      <c r="R55" s="11" t="s">
        <v>55</v>
      </c>
      <c r="S55" s="11" t="s">
        <v>55</v>
      </c>
      <c r="T55" s="11" t="s">
        <v>55</v>
      </c>
      <c r="U55" s="11" t="s">
        <v>55</v>
      </c>
      <c r="V55" s="11" t="s">
        <v>55</v>
      </c>
      <c r="W55" s="11" t="s">
        <v>55</v>
      </c>
      <c r="X55" s="11" t="s">
        <v>55</v>
      </c>
      <c r="Y55" s="11" t="s">
        <v>55</v>
      </c>
      <c r="Z55" s="11" t="s">
        <v>55</v>
      </c>
      <c r="AA55" s="11" t="s">
        <v>55</v>
      </c>
      <c r="AB55" s="11" t="s">
        <v>55</v>
      </c>
      <c r="AC55" s="11" t="s">
        <v>55</v>
      </c>
      <c r="AD55" s="11" t="s">
        <v>55</v>
      </c>
      <c r="AE55" s="11" t="s">
        <v>55</v>
      </c>
      <c r="AF55" s="11" t="s">
        <v>55</v>
      </c>
      <c r="AG55" s="11" t="s">
        <v>55</v>
      </c>
      <c r="AH55" s="11" t="s">
        <v>55</v>
      </c>
      <c r="AI55" s="11"/>
    </row>
    <row r="56" spans="1:35" x14ac:dyDescent="0.3">
      <c r="A56" s="10" t="s">
        <v>445</v>
      </c>
      <c r="B56" s="11" t="str">
        <f>VLOOKUP(PhysChem_Table[[#This Row],[Marker name]],BaseInfos_Table[],3,FALSE)</f>
        <v>24782-64-7</v>
      </c>
      <c r="C56" s="10" t="s">
        <v>462</v>
      </c>
      <c r="D56" s="10" t="s">
        <v>55</v>
      </c>
      <c r="E56" s="10" t="s">
        <v>55</v>
      </c>
      <c r="F56" s="10" t="s">
        <v>55</v>
      </c>
      <c r="G56" s="10">
        <v>469</v>
      </c>
      <c r="H56" s="22">
        <v>101.325</v>
      </c>
      <c r="I56" s="10">
        <v>1.4</v>
      </c>
      <c r="J56" s="10" t="s">
        <v>83</v>
      </c>
      <c r="K56" s="10" t="s">
        <v>55</v>
      </c>
      <c r="L56" s="10" t="s">
        <v>55</v>
      </c>
      <c r="M56" s="10" t="s">
        <v>55</v>
      </c>
      <c r="N56" s="10">
        <v>1.6</v>
      </c>
      <c r="O56" s="10" t="s">
        <v>83</v>
      </c>
      <c r="P56" s="10" t="s">
        <v>55</v>
      </c>
      <c r="Q56" s="10" t="s">
        <v>55</v>
      </c>
      <c r="R56" s="10" t="s">
        <v>55</v>
      </c>
      <c r="S56" s="10" t="s">
        <v>55</v>
      </c>
      <c r="T56" s="10" t="s">
        <v>55</v>
      </c>
      <c r="U56" s="10">
        <v>6.0999999999999999E-2</v>
      </c>
      <c r="V56" s="10">
        <v>238</v>
      </c>
      <c r="W56" s="10" t="s">
        <v>83</v>
      </c>
      <c r="X56" s="10" t="s">
        <v>55</v>
      </c>
      <c r="Y56" s="10" t="s">
        <v>55</v>
      </c>
      <c r="Z56" s="10" t="s">
        <v>55</v>
      </c>
      <c r="AA56" s="10" t="s">
        <v>55</v>
      </c>
      <c r="AB56" s="10" t="s">
        <v>55</v>
      </c>
      <c r="AC56" s="10" t="s">
        <v>55</v>
      </c>
      <c r="AD56" s="10" t="s">
        <v>55</v>
      </c>
      <c r="AE56" s="10" t="s">
        <v>55</v>
      </c>
      <c r="AF56" s="10" t="s">
        <v>55</v>
      </c>
      <c r="AG56" s="10" t="s">
        <v>55</v>
      </c>
      <c r="AH56" s="12" t="s">
        <v>463</v>
      </c>
      <c r="AI56" s="12"/>
    </row>
    <row r="57" spans="1:35" x14ac:dyDescent="0.3">
      <c r="A57" s="10" t="s">
        <v>446</v>
      </c>
      <c r="B57" s="11" t="str">
        <f>VLOOKUP(PhysChem_Table[[#This Row],[Marker name]],BaseInfos_Table[],3,FALSE)</f>
        <v>n.a.</v>
      </c>
      <c r="C57" s="11" t="s">
        <v>55</v>
      </c>
      <c r="D57" s="11" t="s">
        <v>55</v>
      </c>
      <c r="E57" s="11" t="s">
        <v>55</v>
      </c>
      <c r="F57" s="11" t="s">
        <v>55</v>
      </c>
      <c r="G57" s="11" t="s">
        <v>55</v>
      </c>
      <c r="H57" s="11" t="s">
        <v>55</v>
      </c>
      <c r="I57" s="11" t="s">
        <v>55</v>
      </c>
      <c r="J57" s="11" t="s">
        <v>55</v>
      </c>
      <c r="K57" s="11" t="s">
        <v>55</v>
      </c>
      <c r="L57" s="11" t="s">
        <v>55</v>
      </c>
      <c r="M57" s="11" t="s">
        <v>55</v>
      </c>
      <c r="N57" s="11" t="s">
        <v>55</v>
      </c>
      <c r="O57" s="11" t="s">
        <v>55</v>
      </c>
      <c r="P57" s="11" t="s">
        <v>55</v>
      </c>
      <c r="Q57" s="11" t="s">
        <v>55</v>
      </c>
      <c r="R57" s="11" t="s">
        <v>55</v>
      </c>
      <c r="S57" s="11" t="s">
        <v>55</v>
      </c>
      <c r="T57" s="11" t="s">
        <v>55</v>
      </c>
      <c r="U57" s="11" t="s">
        <v>55</v>
      </c>
      <c r="V57" s="11" t="s">
        <v>55</v>
      </c>
      <c r="W57" s="11" t="s">
        <v>55</v>
      </c>
      <c r="X57" s="11" t="s">
        <v>55</v>
      </c>
      <c r="Y57" s="11" t="s">
        <v>55</v>
      </c>
      <c r="Z57" s="11" t="s">
        <v>55</v>
      </c>
      <c r="AA57" s="11" t="s">
        <v>55</v>
      </c>
      <c r="AB57" s="11" t="s">
        <v>55</v>
      </c>
      <c r="AC57" s="11" t="s">
        <v>55</v>
      </c>
      <c r="AD57" s="11" t="s">
        <v>55</v>
      </c>
      <c r="AE57" s="11" t="s">
        <v>55</v>
      </c>
      <c r="AF57" s="11" t="s">
        <v>55</v>
      </c>
      <c r="AG57" s="11" t="s">
        <v>55</v>
      </c>
      <c r="AH57" s="11" t="s">
        <v>55</v>
      </c>
      <c r="AI57" s="11"/>
    </row>
    <row r="58" spans="1:35" x14ac:dyDescent="0.3">
      <c r="A58" s="10" t="s">
        <v>447</v>
      </c>
      <c r="B58" s="11" t="str">
        <f>VLOOKUP(PhysChem_Table[[#This Row],[Marker name]],BaseInfos_Table[],3,FALSE)</f>
        <v>n.a.</v>
      </c>
      <c r="C58" s="11" t="s">
        <v>55</v>
      </c>
      <c r="D58" s="11" t="s">
        <v>55</v>
      </c>
      <c r="E58" s="11" t="s">
        <v>55</v>
      </c>
      <c r="F58" s="11" t="s">
        <v>55</v>
      </c>
      <c r="G58" s="11" t="s">
        <v>55</v>
      </c>
      <c r="H58" s="11" t="s">
        <v>55</v>
      </c>
      <c r="I58" s="11" t="s">
        <v>55</v>
      </c>
      <c r="J58" s="11" t="s">
        <v>55</v>
      </c>
      <c r="K58" s="11" t="s">
        <v>55</v>
      </c>
      <c r="L58" s="11" t="s">
        <v>55</v>
      </c>
      <c r="M58" s="11" t="s">
        <v>55</v>
      </c>
      <c r="N58" s="11" t="s">
        <v>55</v>
      </c>
      <c r="O58" s="11" t="s">
        <v>55</v>
      </c>
      <c r="P58" s="11" t="s">
        <v>55</v>
      </c>
      <c r="Q58" s="11" t="s">
        <v>55</v>
      </c>
      <c r="R58" s="11" t="s">
        <v>55</v>
      </c>
      <c r="S58" s="11" t="s">
        <v>55</v>
      </c>
      <c r="T58" s="11" t="s">
        <v>55</v>
      </c>
      <c r="U58" s="11" t="s">
        <v>55</v>
      </c>
      <c r="V58" s="11" t="s">
        <v>55</v>
      </c>
      <c r="W58" s="11" t="s">
        <v>55</v>
      </c>
      <c r="X58" s="11" t="s">
        <v>55</v>
      </c>
      <c r="Y58" s="11" t="s">
        <v>55</v>
      </c>
      <c r="Z58" s="11" t="s">
        <v>55</v>
      </c>
      <c r="AA58" s="11" t="s">
        <v>55</v>
      </c>
      <c r="AB58" s="11" t="s">
        <v>55</v>
      </c>
      <c r="AC58" s="11" t="s">
        <v>55</v>
      </c>
      <c r="AD58" s="11" t="s">
        <v>55</v>
      </c>
      <c r="AE58" s="11" t="s">
        <v>55</v>
      </c>
      <c r="AF58" s="11" t="s">
        <v>55</v>
      </c>
      <c r="AG58" s="11" t="s">
        <v>55</v>
      </c>
      <c r="AH58" s="11" t="s">
        <v>55</v>
      </c>
      <c r="AI58" s="11"/>
    </row>
    <row r="59" spans="1:35" x14ac:dyDescent="0.3">
      <c r="A59" s="10" t="s">
        <v>448</v>
      </c>
      <c r="B59" s="11" t="str">
        <f>VLOOKUP(PhysChem_Table[[#This Row],[Marker name]],BaseInfos_Table[],3,FALSE)</f>
        <v>n.a.</v>
      </c>
      <c r="C59" s="11" t="s">
        <v>55</v>
      </c>
      <c r="D59" s="11" t="s">
        <v>55</v>
      </c>
      <c r="E59" s="11" t="s">
        <v>55</v>
      </c>
      <c r="F59" s="11" t="s">
        <v>55</v>
      </c>
      <c r="G59" s="11" t="s">
        <v>55</v>
      </c>
      <c r="H59" s="11" t="s">
        <v>55</v>
      </c>
      <c r="I59" s="11" t="s">
        <v>55</v>
      </c>
      <c r="J59" s="11" t="s">
        <v>55</v>
      </c>
      <c r="K59" s="11" t="s">
        <v>55</v>
      </c>
      <c r="L59" s="11" t="s">
        <v>55</v>
      </c>
      <c r="M59" s="11" t="s">
        <v>55</v>
      </c>
      <c r="N59" s="11" t="s">
        <v>55</v>
      </c>
      <c r="O59" s="11" t="s">
        <v>55</v>
      </c>
      <c r="P59" s="11" t="s">
        <v>55</v>
      </c>
      <c r="Q59" s="11" t="s">
        <v>55</v>
      </c>
      <c r="R59" s="11" t="s">
        <v>55</v>
      </c>
      <c r="S59" s="11" t="s">
        <v>55</v>
      </c>
      <c r="T59" s="11" t="s">
        <v>55</v>
      </c>
      <c r="U59" s="11" t="s">
        <v>55</v>
      </c>
      <c r="V59" s="11" t="s">
        <v>55</v>
      </c>
      <c r="W59" s="11" t="s">
        <v>55</v>
      </c>
      <c r="X59" s="11" t="s">
        <v>55</v>
      </c>
      <c r="Y59" s="11" t="s">
        <v>55</v>
      </c>
      <c r="Z59" s="11" t="s">
        <v>55</v>
      </c>
      <c r="AA59" s="11" t="s">
        <v>55</v>
      </c>
      <c r="AB59" s="11" t="s">
        <v>55</v>
      </c>
      <c r="AC59" s="11" t="s">
        <v>55</v>
      </c>
      <c r="AD59" s="11" t="s">
        <v>55</v>
      </c>
      <c r="AE59" s="11" t="s">
        <v>55</v>
      </c>
      <c r="AF59" s="11" t="s">
        <v>55</v>
      </c>
      <c r="AG59" s="11" t="s">
        <v>55</v>
      </c>
      <c r="AH59" s="11" t="s">
        <v>55</v>
      </c>
      <c r="AI59" s="11"/>
    </row>
    <row r="60" spans="1:35" x14ac:dyDescent="0.3">
      <c r="A60" s="10" t="s">
        <v>449</v>
      </c>
      <c r="B60" s="11" t="str">
        <f>VLOOKUP(PhysChem_Table[[#This Row],[Marker name]],BaseInfos_Table[],3,FALSE)</f>
        <v>n.a.</v>
      </c>
      <c r="C60" s="11" t="s">
        <v>55</v>
      </c>
      <c r="D60" s="11" t="s">
        <v>55</v>
      </c>
      <c r="E60" s="11" t="s">
        <v>55</v>
      </c>
      <c r="F60" s="11" t="s">
        <v>55</v>
      </c>
      <c r="G60" s="11" t="s">
        <v>55</v>
      </c>
      <c r="H60" s="11" t="s">
        <v>55</v>
      </c>
      <c r="I60" s="11" t="s">
        <v>55</v>
      </c>
      <c r="J60" s="11" t="s">
        <v>55</v>
      </c>
      <c r="K60" s="11" t="s">
        <v>55</v>
      </c>
      <c r="L60" s="11" t="s">
        <v>55</v>
      </c>
      <c r="M60" s="11" t="s">
        <v>55</v>
      </c>
      <c r="N60" s="11" t="s">
        <v>55</v>
      </c>
      <c r="O60" s="11" t="s">
        <v>55</v>
      </c>
      <c r="P60" s="11" t="s">
        <v>55</v>
      </c>
      <c r="Q60" s="11" t="s">
        <v>55</v>
      </c>
      <c r="R60" s="11" t="s">
        <v>55</v>
      </c>
      <c r="S60" s="11" t="s">
        <v>55</v>
      </c>
      <c r="T60" s="11" t="s">
        <v>55</v>
      </c>
      <c r="U60" s="11" t="s">
        <v>55</v>
      </c>
      <c r="V60" s="11" t="s">
        <v>55</v>
      </c>
      <c r="W60" s="11" t="s">
        <v>55</v>
      </c>
      <c r="X60" s="11" t="s">
        <v>55</v>
      </c>
      <c r="Y60" s="11" t="s">
        <v>55</v>
      </c>
      <c r="Z60" s="11" t="s">
        <v>55</v>
      </c>
      <c r="AA60" s="11" t="s">
        <v>55</v>
      </c>
      <c r="AB60" s="11" t="s">
        <v>55</v>
      </c>
      <c r="AC60" s="11" t="s">
        <v>55</v>
      </c>
      <c r="AD60" s="11" t="s">
        <v>55</v>
      </c>
      <c r="AE60" s="11" t="s">
        <v>55</v>
      </c>
      <c r="AF60" s="11" t="s">
        <v>55</v>
      </c>
      <c r="AG60" s="11" t="s">
        <v>55</v>
      </c>
      <c r="AH60" s="11" t="s">
        <v>55</v>
      </c>
      <c r="AI60" s="11"/>
    </row>
    <row r="61" spans="1:35" x14ac:dyDescent="0.3">
      <c r="A61" s="10" t="s">
        <v>450</v>
      </c>
      <c r="B61" s="11" t="str">
        <f>VLOOKUP(PhysChem_Table[[#This Row],[Marker name]],BaseInfos_Table[],3,FALSE)</f>
        <v>n.a.</v>
      </c>
      <c r="C61" s="11" t="s">
        <v>55</v>
      </c>
      <c r="D61" s="11" t="s">
        <v>55</v>
      </c>
      <c r="E61" s="11" t="s">
        <v>55</v>
      </c>
      <c r="F61" s="11" t="s">
        <v>55</v>
      </c>
      <c r="G61" s="11" t="s">
        <v>55</v>
      </c>
      <c r="H61" s="11" t="s">
        <v>55</v>
      </c>
      <c r="I61" s="11" t="s">
        <v>55</v>
      </c>
      <c r="J61" s="11" t="s">
        <v>55</v>
      </c>
      <c r="K61" s="11" t="s">
        <v>55</v>
      </c>
      <c r="L61" s="11" t="s">
        <v>55</v>
      </c>
      <c r="M61" s="11" t="s">
        <v>55</v>
      </c>
      <c r="N61" s="11" t="s">
        <v>55</v>
      </c>
      <c r="O61" s="11" t="s">
        <v>55</v>
      </c>
      <c r="P61" s="11" t="s">
        <v>55</v>
      </c>
      <c r="Q61" s="11" t="s">
        <v>55</v>
      </c>
      <c r="R61" s="11" t="s">
        <v>55</v>
      </c>
      <c r="S61" s="11" t="s">
        <v>55</v>
      </c>
      <c r="T61" s="11" t="s">
        <v>55</v>
      </c>
      <c r="U61" s="11" t="s">
        <v>55</v>
      </c>
      <c r="V61" s="11" t="s">
        <v>55</v>
      </c>
      <c r="W61" s="11" t="s">
        <v>55</v>
      </c>
      <c r="X61" s="11" t="s">
        <v>55</v>
      </c>
      <c r="Y61" s="11" t="s">
        <v>55</v>
      </c>
      <c r="Z61" s="11" t="s">
        <v>55</v>
      </c>
      <c r="AA61" s="11" t="s">
        <v>55</v>
      </c>
      <c r="AB61" s="11" t="s">
        <v>55</v>
      </c>
      <c r="AC61" s="11" t="s">
        <v>55</v>
      </c>
      <c r="AD61" s="11" t="s">
        <v>55</v>
      </c>
      <c r="AE61" s="11" t="s">
        <v>55</v>
      </c>
      <c r="AF61" s="11" t="s">
        <v>55</v>
      </c>
      <c r="AG61" s="11" t="s">
        <v>55</v>
      </c>
      <c r="AH61" s="11" t="s">
        <v>55</v>
      </c>
      <c r="AI61" s="11"/>
    </row>
    <row r="62" spans="1:35" x14ac:dyDescent="0.3">
      <c r="A62" s="10" t="s">
        <v>451</v>
      </c>
      <c r="B62" s="11" t="str">
        <f>VLOOKUP(PhysChem_Table[[#This Row],[Marker name]],BaseInfos_Table[],3,FALSE)</f>
        <v>n.a.</v>
      </c>
      <c r="C62" s="11" t="s">
        <v>55</v>
      </c>
      <c r="D62" s="11" t="s">
        <v>55</v>
      </c>
      <c r="E62" s="11" t="s">
        <v>55</v>
      </c>
      <c r="F62" s="11" t="s">
        <v>55</v>
      </c>
      <c r="G62" s="11" t="s">
        <v>55</v>
      </c>
      <c r="H62" s="11" t="s">
        <v>55</v>
      </c>
      <c r="I62" s="11" t="s">
        <v>55</v>
      </c>
      <c r="J62" s="11" t="s">
        <v>55</v>
      </c>
      <c r="K62" s="11" t="s">
        <v>55</v>
      </c>
      <c r="L62" s="11" t="s">
        <v>55</v>
      </c>
      <c r="M62" s="11" t="s">
        <v>55</v>
      </c>
      <c r="N62" s="11" t="s">
        <v>55</v>
      </c>
      <c r="O62" s="11" t="s">
        <v>55</v>
      </c>
      <c r="P62" s="11" t="s">
        <v>55</v>
      </c>
      <c r="Q62" s="11" t="s">
        <v>55</v>
      </c>
      <c r="R62" s="11" t="s">
        <v>55</v>
      </c>
      <c r="S62" s="11" t="s">
        <v>55</v>
      </c>
      <c r="T62" s="11" t="s">
        <v>55</v>
      </c>
      <c r="U62" s="11" t="s">
        <v>55</v>
      </c>
      <c r="V62" s="11" t="s">
        <v>55</v>
      </c>
      <c r="W62" s="11" t="s">
        <v>55</v>
      </c>
      <c r="X62" s="11" t="s">
        <v>55</v>
      </c>
      <c r="Y62" s="11" t="s">
        <v>55</v>
      </c>
      <c r="Z62" s="11" t="s">
        <v>55</v>
      </c>
      <c r="AA62" s="11" t="s">
        <v>55</v>
      </c>
      <c r="AB62" s="11" t="s">
        <v>55</v>
      </c>
      <c r="AC62" s="11" t="s">
        <v>55</v>
      </c>
      <c r="AD62" s="11" t="s">
        <v>55</v>
      </c>
      <c r="AE62" s="11" t="s">
        <v>55</v>
      </c>
      <c r="AF62" s="11" t="s">
        <v>55</v>
      </c>
      <c r="AG62" s="11" t="s">
        <v>55</v>
      </c>
      <c r="AH62" s="11" t="s">
        <v>55</v>
      </c>
      <c r="AI62" s="11"/>
    </row>
    <row r="63" spans="1:35" x14ac:dyDescent="0.3">
      <c r="A63" s="10" t="s">
        <v>452</v>
      </c>
      <c r="B63" s="11" t="str">
        <f>VLOOKUP(PhysChem_Table[[#This Row],[Marker name]],BaseInfos_Table[],3,FALSE)</f>
        <v>n.a.</v>
      </c>
      <c r="C63" s="11" t="s">
        <v>55</v>
      </c>
      <c r="D63" s="11" t="s">
        <v>55</v>
      </c>
      <c r="E63" s="11" t="s">
        <v>55</v>
      </c>
      <c r="F63" s="11" t="s">
        <v>55</v>
      </c>
      <c r="G63" s="11" t="s">
        <v>55</v>
      </c>
      <c r="H63" s="11" t="s">
        <v>55</v>
      </c>
      <c r="I63" s="11" t="s">
        <v>55</v>
      </c>
      <c r="J63" s="11" t="s">
        <v>55</v>
      </c>
      <c r="K63" s="11" t="s">
        <v>55</v>
      </c>
      <c r="L63" s="11" t="s">
        <v>55</v>
      </c>
      <c r="M63" s="11" t="s">
        <v>55</v>
      </c>
      <c r="N63" s="11" t="s">
        <v>55</v>
      </c>
      <c r="O63" s="11" t="s">
        <v>55</v>
      </c>
      <c r="P63" s="11" t="s">
        <v>55</v>
      </c>
      <c r="Q63" s="11" t="s">
        <v>55</v>
      </c>
      <c r="R63" s="11" t="s">
        <v>55</v>
      </c>
      <c r="S63" s="11" t="s">
        <v>55</v>
      </c>
      <c r="T63" s="11" t="s">
        <v>55</v>
      </c>
      <c r="U63" s="11" t="s">
        <v>55</v>
      </c>
      <c r="V63" s="11" t="s">
        <v>55</v>
      </c>
      <c r="W63" s="11" t="s">
        <v>55</v>
      </c>
      <c r="X63" s="11" t="s">
        <v>55</v>
      </c>
      <c r="Y63" s="11" t="s">
        <v>55</v>
      </c>
      <c r="Z63" s="11" t="s">
        <v>55</v>
      </c>
      <c r="AA63" s="11" t="s">
        <v>55</v>
      </c>
      <c r="AB63" s="11" t="s">
        <v>55</v>
      </c>
      <c r="AC63" s="11" t="s">
        <v>55</v>
      </c>
      <c r="AD63" s="11" t="s">
        <v>55</v>
      </c>
      <c r="AE63" s="11" t="s">
        <v>55</v>
      </c>
      <c r="AF63" s="11" t="s">
        <v>55</v>
      </c>
      <c r="AG63" s="11" t="s">
        <v>55</v>
      </c>
      <c r="AH63" s="11" t="s">
        <v>55</v>
      </c>
      <c r="AI63" s="11"/>
    </row>
    <row r="64" spans="1:35" x14ac:dyDescent="0.3">
      <c r="A64" s="10" t="s">
        <v>453</v>
      </c>
      <c r="B64" s="11" t="str">
        <f>VLOOKUP(PhysChem_Table[[#This Row],[Marker name]],BaseInfos_Table[],3,FALSE)</f>
        <v>n.a.</v>
      </c>
      <c r="C64" s="11" t="s">
        <v>55</v>
      </c>
      <c r="D64" s="11" t="s">
        <v>55</v>
      </c>
      <c r="E64" s="11" t="s">
        <v>55</v>
      </c>
      <c r="F64" s="11" t="s">
        <v>55</v>
      </c>
      <c r="G64" s="11" t="s">
        <v>55</v>
      </c>
      <c r="H64" s="11" t="s">
        <v>55</v>
      </c>
      <c r="I64" s="11" t="s">
        <v>55</v>
      </c>
      <c r="J64" s="11" t="s">
        <v>55</v>
      </c>
      <c r="K64" s="11" t="s">
        <v>55</v>
      </c>
      <c r="L64" s="11" t="s">
        <v>55</v>
      </c>
      <c r="M64" s="11" t="s">
        <v>55</v>
      </c>
      <c r="N64" s="11" t="s">
        <v>55</v>
      </c>
      <c r="O64" s="11" t="s">
        <v>55</v>
      </c>
      <c r="P64" s="11" t="s">
        <v>55</v>
      </c>
      <c r="Q64" s="11" t="s">
        <v>55</v>
      </c>
      <c r="R64" s="11" t="s">
        <v>55</v>
      </c>
      <c r="S64" s="11" t="s">
        <v>55</v>
      </c>
      <c r="T64" s="11" t="s">
        <v>55</v>
      </c>
      <c r="U64" s="11" t="s">
        <v>55</v>
      </c>
      <c r="V64" s="11" t="s">
        <v>55</v>
      </c>
      <c r="W64" s="11" t="s">
        <v>55</v>
      </c>
      <c r="X64" s="11" t="s">
        <v>55</v>
      </c>
      <c r="Y64" s="11" t="s">
        <v>55</v>
      </c>
      <c r="Z64" s="11" t="s">
        <v>55</v>
      </c>
      <c r="AA64" s="11" t="s">
        <v>55</v>
      </c>
      <c r="AB64" s="11" t="s">
        <v>55</v>
      </c>
      <c r="AC64" s="11" t="s">
        <v>55</v>
      </c>
      <c r="AD64" s="11" t="s">
        <v>55</v>
      </c>
      <c r="AE64" s="11" t="s">
        <v>55</v>
      </c>
      <c r="AF64" s="11" t="s">
        <v>55</v>
      </c>
      <c r="AG64" s="11" t="s">
        <v>55</v>
      </c>
      <c r="AH64" s="11" t="s">
        <v>55</v>
      </c>
      <c r="AI64" s="11"/>
    </row>
    <row r="65" spans="1:35" x14ac:dyDescent="0.3">
      <c r="A65" s="10" t="s">
        <v>454</v>
      </c>
      <c r="B65" s="11" t="str">
        <f>VLOOKUP(PhysChem_Table[[#This Row],[Marker name]],BaseInfos_Table[],3,FALSE)</f>
        <v>n.a.</v>
      </c>
      <c r="C65" s="11" t="s">
        <v>55</v>
      </c>
      <c r="D65" s="11" t="s">
        <v>55</v>
      </c>
      <c r="E65" s="11" t="s">
        <v>55</v>
      </c>
      <c r="F65" s="11" t="s">
        <v>55</v>
      </c>
      <c r="G65" s="11" t="s">
        <v>55</v>
      </c>
      <c r="H65" s="11" t="s">
        <v>55</v>
      </c>
      <c r="I65" s="11" t="s">
        <v>55</v>
      </c>
      <c r="J65" s="11" t="s">
        <v>55</v>
      </c>
      <c r="K65" s="11" t="s">
        <v>55</v>
      </c>
      <c r="L65" s="11" t="s">
        <v>55</v>
      </c>
      <c r="M65" s="11" t="s">
        <v>55</v>
      </c>
      <c r="N65" s="11" t="s">
        <v>55</v>
      </c>
      <c r="O65" s="11" t="s">
        <v>55</v>
      </c>
      <c r="P65" s="11" t="s">
        <v>55</v>
      </c>
      <c r="Q65" s="11" t="s">
        <v>55</v>
      </c>
      <c r="R65" s="11" t="s">
        <v>55</v>
      </c>
      <c r="S65" s="11" t="s">
        <v>55</v>
      </c>
      <c r="T65" s="11" t="s">
        <v>55</v>
      </c>
      <c r="U65" s="11" t="s">
        <v>55</v>
      </c>
      <c r="V65" s="11" t="s">
        <v>55</v>
      </c>
      <c r="W65" s="11" t="s">
        <v>55</v>
      </c>
      <c r="X65" s="11" t="s">
        <v>55</v>
      </c>
      <c r="Y65" s="11" t="s">
        <v>55</v>
      </c>
      <c r="Z65" s="11" t="s">
        <v>55</v>
      </c>
      <c r="AA65" s="11" t="s">
        <v>55</v>
      </c>
      <c r="AB65" s="11" t="s">
        <v>55</v>
      </c>
      <c r="AC65" s="11" t="s">
        <v>55</v>
      </c>
      <c r="AD65" s="11" t="s">
        <v>55</v>
      </c>
      <c r="AE65" s="11" t="s">
        <v>55</v>
      </c>
      <c r="AF65" s="11" t="s">
        <v>55</v>
      </c>
      <c r="AG65" s="11" t="s">
        <v>55</v>
      </c>
      <c r="AH65" s="11" t="s">
        <v>55</v>
      </c>
      <c r="AI65" s="11"/>
    </row>
    <row r="66" spans="1:35" x14ac:dyDescent="0.3">
      <c r="A66" s="10" t="s">
        <v>455</v>
      </c>
      <c r="B66" s="11" t="str">
        <f>VLOOKUP(PhysChem_Table[[#This Row],[Marker name]],BaseInfos_Table[],3,FALSE)</f>
        <v>134272-64-3</v>
      </c>
      <c r="C66" s="10" t="s">
        <v>247</v>
      </c>
      <c r="D66" s="10" t="s">
        <v>55</v>
      </c>
      <c r="E66" s="10">
        <v>163</v>
      </c>
      <c r="F66" s="10" t="s">
        <v>83</v>
      </c>
      <c r="G66" s="10">
        <v>308.2</v>
      </c>
      <c r="H66" s="10" t="s">
        <v>83</v>
      </c>
      <c r="I66" s="10" t="s">
        <v>55</v>
      </c>
      <c r="J66" s="10" t="s">
        <v>55</v>
      </c>
      <c r="K66" s="10" t="s">
        <v>55</v>
      </c>
      <c r="L66" s="10" t="s">
        <v>55</v>
      </c>
      <c r="M66" s="10" t="s">
        <v>55</v>
      </c>
      <c r="N66" s="10" t="s">
        <v>55</v>
      </c>
      <c r="O66" s="10" t="s">
        <v>55</v>
      </c>
      <c r="P66" s="10" t="s">
        <v>55</v>
      </c>
      <c r="Q66" s="10" t="s">
        <v>55</v>
      </c>
      <c r="R66" s="10" t="s">
        <v>55</v>
      </c>
      <c r="S66" s="10" t="s">
        <v>55</v>
      </c>
      <c r="T66" s="10" t="s">
        <v>55</v>
      </c>
      <c r="U66" s="10" t="s">
        <v>55</v>
      </c>
      <c r="V66" s="10" t="s">
        <v>55</v>
      </c>
      <c r="W66" s="10" t="s">
        <v>55</v>
      </c>
      <c r="X66" s="10" t="s">
        <v>55</v>
      </c>
      <c r="Y66" s="10" t="s">
        <v>55</v>
      </c>
      <c r="Z66" s="10" t="s">
        <v>55</v>
      </c>
      <c r="AA66" s="10" t="s">
        <v>55</v>
      </c>
      <c r="AB66" s="10" t="s">
        <v>55</v>
      </c>
      <c r="AC66" s="10" t="s">
        <v>55</v>
      </c>
      <c r="AD66" s="10" t="s">
        <v>55</v>
      </c>
      <c r="AE66" s="10" t="s">
        <v>55</v>
      </c>
      <c r="AF66" s="10" t="s">
        <v>55</v>
      </c>
      <c r="AG66" s="10" t="s">
        <v>55</v>
      </c>
      <c r="AH66" s="12" t="s">
        <v>663</v>
      </c>
      <c r="AI66" s="12" t="s">
        <v>662</v>
      </c>
    </row>
    <row r="67" spans="1:35" x14ac:dyDescent="0.3">
      <c r="A67" s="10" t="s">
        <v>465</v>
      </c>
      <c r="B67" s="11" t="str">
        <f>VLOOKUP(PhysChem_Table[[#This Row],[Marker name]],BaseInfos_Table[],3,FALSE)</f>
        <v>n.a.</v>
      </c>
      <c r="C67" s="11" t="s">
        <v>55</v>
      </c>
      <c r="D67" s="11" t="s">
        <v>55</v>
      </c>
      <c r="E67" s="11" t="s">
        <v>55</v>
      </c>
      <c r="F67" s="11" t="s">
        <v>55</v>
      </c>
      <c r="G67" s="11" t="s">
        <v>55</v>
      </c>
      <c r="H67" s="11" t="s">
        <v>55</v>
      </c>
      <c r="I67" s="11" t="s">
        <v>55</v>
      </c>
      <c r="J67" s="11" t="s">
        <v>55</v>
      </c>
      <c r="K67" s="11" t="s">
        <v>55</v>
      </c>
      <c r="L67" s="11" t="s">
        <v>55</v>
      </c>
      <c r="M67" s="11" t="s">
        <v>55</v>
      </c>
      <c r="N67" s="11" t="s">
        <v>55</v>
      </c>
      <c r="O67" s="11" t="s">
        <v>55</v>
      </c>
      <c r="P67" s="11" t="s">
        <v>55</v>
      </c>
      <c r="Q67" s="11" t="s">
        <v>55</v>
      </c>
      <c r="R67" s="11" t="s">
        <v>55</v>
      </c>
      <c r="S67" s="11" t="s">
        <v>55</v>
      </c>
      <c r="T67" s="11" t="s">
        <v>55</v>
      </c>
      <c r="U67" s="11" t="s">
        <v>55</v>
      </c>
      <c r="V67" s="11" t="s">
        <v>55</v>
      </c>
      <c r="W67" s="11" t="s">
        <v>55</v>
      </c>
      <c r="X67" s="11" t="s">
        <v>55</v>
      </c>
      <c r="Y67" s="11" t="s">
        <v>55</v>
      </c>
      <c r="Z67" s="11" t="s">
        <v>55</v>
      </c>
      <c r="AA67" s="11" t="s">
        <v>55</v>
      </c>
      <c r="AB67" s="11" t="s">
        <v>55</v>
      </c>
      <c r="AC67" s="11" t="s">
        <v>55</v>
      </c>
      <c r="AD67" s="11" t="s">
        <v>55</v>
      </c>
      <c r="AE67" s="11" t="s">
        <v>55</v>
      </c>
      <c r="AF67" s="11" t="s">
        <v>55</v>
      </c>
      <c r="AG67" s="11" t="s">
        <v>55</v>
      </c>
      <c r="AH67" s="11" t="s">
        <v>55</v>
      </c>
      <c r="AI67" s="11"/>
    </row>
    <row r="68" spans="1:35" x14ac:dyDescent="0.3">
      <c r="A68" s="10" t="s">
        <v>466</v>
      </c>
      <c r="B68" s="11" t="str">
        <f>VLOOKUP(PhysChem_Table[[#This Row],[Marker name]],BaseInfos_Table[],3,FALSE)</f>
        <v>n.a.</v>
      </c>
      <c r="C68" s="11" t="s">
        <v>55</v>
      </c>
      <c r="D68" s="11" t="s">
        <v>55</v>
      </c>
      <c r="E68" s="11" t="s">
        <v>55</v>
      </c>
      <c r="F68" s="11" t="s">
        <v>55</v>
      </c>
      <c r="G68" s="11" t="s">
        <v>55</v>
      </c>
      <c r="H68" s="11" t="s">
        <v>55</v>
      </c>
      <c r="I68" s="11" t="s">
        <v>55</v>
      </c>
      <c r="J68" s="11" t="s">
        <v>55</v>
      </c>
      <c r="K68" s="11" t="s">
        <v>55</v>
      </c>
      <c r="L68" s="11" t="s">
        <v>55</v>
      </c>
      <c r="M68" s="11" t="s">
        <v>55</v>
      </c>
      <c r="N68" s="11" t="s">
        <v>55</v>
      </c>
      <c r="O68" s="11" t="s">
        <v>55</v>
      </c>
      <c r="P68" s="11" t="s">
        <v>55</v>
      </c>
      <c r="Q68" s="11" t="s">
        <v>55</v>
      </c>
      <c r="R68" s="11" t="s">
        <v>55</v>
      </c>
      <c r="S68" s="11" t="s">
        <v>55</v>
      </c>
      <c r="T68" s="11" t="s">
        <v>55</v>
      </c>
      <c r="U68" s="11" t="s">
        <v>55</v>
      </c>
      <c r="V68" s="11" t="s">
        <v>55</v>
      </c>
      <c r="W68" s="11" t="s">
        <v>55</v>
      </c>
      <c r="X68" s="11" t="s">
        <v>55</v>
      </c>
      <c r="Y68" s="11" t="s">
        <v>55</v>
      </c>
      <c r="Z68" s="11" t="s">
        <v>55</v>
      </c>
      <c r="AA68" s="11" t="s">
        <v>55</v>
      </c>
      <c r="AB68" s="11" t="s">
        <v>55</v>
      </c>
      <c r="AC68" s="11" t="s">
        <v>55</v>
      </c>
      <c r="AD68" s="11" t="s">
        <v>55</v>
      </c>
      <c r="AE68" s="11" t="s">
        <v>55</v>
      </c>
      <c r="AF68" s="11" t="s">
        <v>55</v>
      </c>
      <c r="AG68" s="11" t="s">
        <v>55</v>
      </c>
      <c r="AH68" s="11" t="s">
        <v>55</v>
      </c>
      <c r="AI68" s="11"/>
    </row>
    <row r="69" spans="1:35" x14ac:dyDescent="0.3">
      <c r="A69" s="10" t="s">
        <v>467</v>
      </c>
      <c r="B69" s="11" t="str">
        <f>VLOOKUP(PhysChem_Table[[#This Row],[Marker name]],BaseInfos_Table[],3,FALSE)</f>
        <v>n.a.</v>
      </c>
      <c r="C69" s="11" t="s">
        <v>55</v>
      </c>
      <c r="D69" s="11" t="s">
        <v>55</v>
      </c>
      <c r="E69" s="11" t="s">
        <v>55</v>
      </c>
      <c r="F69" s="11" t="s">
        <v>55</v>
      </c>
      <c r="G69" s="11" t="s">
        <v>55</v>
      </c>
      <c r="H69" s="11" t="s">
        <v>55</v>
      </c>
      <c r="I69" s="11" t="s">
        <v>55</v>
      </c>
      <c r="J69" s="11" t="s">
        <v>55</v>
      </c>
      <c r="K69" s="11" t="s">
        <v>55</v>
      </c>
      <c r="L69" s="11" t="s">
        <v>55</v>
      </c>
      <c r="M69" s="11" t="s">
        <v>55</v>
      </c>
      <c r="N69" s="11" t="s">
        <v>55</v>
      </c>
      <c r="O69" s="11" t="s">
        <v>55</v>
      </c>
      <c r="P69" s="11" t="s">
        <v>55</v>
      </c>
      <c r="Q69" s="11" t="s">
        <v>55</v>
      </c>
      <c r="R69" s="11" t="s">
        <v>55</v>
      </c>
      <c r="S69" s="11" t="s">
        <v>55</v>
      </c>
      <c r="T69" s="11" t="s">
        <v>55</v>
      </c>
      <c r="U69" s="11" t="s">
        <v>55</v>
      </c>
      <c r="V69" s="11" t="s">
        <v>55</v>
      </c>
      <c r="W69" s="11" t="s">
        <v>55</v>
      </c>
      <c r="X69" s="11" t="s">
        <v>55</v>
      </c>
      <c r="Y69" s="11" t="s">
        <v>55</v>
      </c>
      <c r="Z69" s="11" t="s">
        <v>55</v>
      </c>
      <c r="AA69" s="11" t="s">
        <v>55</v>
      </c>
      <c r="AB69" s="11" t="s">
        <v>55</v>
      </c>
      <c r="AC69" s="11" t="s">
        <v>55</v>
      </c>
      <c r="AD69" s="11" t="s">
        <v>55</v>
      </c>
      <c r="AE69" s="11" t="s">
        <v>55</v>
      </c>
      <c r="AF69" s="11" t="s">
        <v>55</v>
      </c>
      <c r="AG69" s="11" t="s">
        <v>55</v>
      </c>
      <c r="AH69" s="11" t="s">
        <v>55</v>
      </c>
      <c r="AI69" s="11"/>
    </row>
    <row r="70" spans="1:35" x14ac:dyDescent="0.3">
      <c r="A70" s="10" t="s">
        <v>468</v>
      </c>
      <c r="B70" s="11" t="str">
        <f>VLOOKUP(PhysChem_Table[[#This Row],[Marker name]],BaseInfos_Table[],3,FALSE)</f>
        <v>n.a.</v>
      </c>
      <c r="C70" s="11" t="s">
        <v>55</v>
      </c>
      <c r="D70" s="11" t="s">
        <v>55</v>
      </c>
      <c r="E70" s="11" t="s">
        <v>55</v>
      </c>
      <c r="F70" s="11" t="s">
        <v>55</v>
      </c>
      <c r="G70" s="11" t="s">
        <v>55</v>
      </c>
      <c r="H70" s="11" t="s">
        <v>55</v>
      </c>
      <c r="I70" s="11" t="s">
        <v>55</v>
      </c>
      <c r="J70" s="11" t="s">
        <v>55</v>
      </c>
      <c r="K70" s="11" t="s">
        <v>55</v>
      </c>
      <c r="L70" s="11" t="s">
        <v>55</v>
      </c>
      <c r="M70" s="11" t="s">
        <v>55</v>
      </c>
      <c r="N70" s="11" t="s">
        <v>55</v>
      </c>
      <c r="O70" s="11" t="s">
        <v>55</v>
      </c>
      <c r="P70" s="11" t="s">
        <v>55</v>
      </c>
      <c r="Q70" s="11" t="s">
        <v>55</v>
      </c>
      <c r="R70" s="11" t="s">
        <v>55</v>
      </c>
      <c r="S70" s="11" t="s">
        <v>55</v>
      </c>
      <c r="T70" s="11" t="s">
        <v>55</v>
      </c>
      <c r="U70" s="11" t="s">
        <v>55</v>
      </c>
      <c r="V70" s="11" t="s">
        <v>55</v>
      </c>
      <c r="W70" s="11" t="s">
        <v>55</v>
      </c>
      <c r="X70" s="11" t="s">
        <v>55</v>
      </c>
      <c r="Y70" s="11" t="s">
        <v>55</v>
      </c>
      <c r="Z70" s="11" t="s">
        <v>55</v>
      </c>
      <c r="AA70" s="11" t="s">
        <v>55</v>
      </c>
      <c r="AB70" s="11" t="s">
        <v>55</v>
      </c>
      <c r="AC70" s="11" t="s">
        <v>55</v>
      </c>
      <c r="AD70" s="11" t="s">
        <v>55</v>
      </c>
      <c r="AE70" s="11" t="s">
        <v>55</v>
      </c>
      <c r="AF70" s="11" t="s">
        <v>55</v>
      </c>
      <c r="AG70" s="11" t="s">
        <v>55</v>
      </c>
      <c r="AH70" s="11" t="s">
        <v>55</v>
      </c>
      <c r="AI70" s="11"/>
    </row>
    <row r="71" spans="1:35" x14ac:dyDescent="0.3">
      <c r="A71" s="10" t="s">
        <v>709</v>
      </c>
      <c r="B71" s="11" t="str">
        <f>VLOOKUP(PhysChem_Table[[#This Row],[Marker name]],BaseInfos_Table[],3,FALSE)</f>
        <v>12027-88-2</v>
      </c>
      <c r="C71" s="10" t="s">
        <v>247</v>
      </c>
      <c r="D71" s="10" t="s">
        <v>81</v>
      </c>
      <c r="E71" s="10">
        <v>2000</v>
      </c>
      <c r="F71" s="10" t="s">
        <v>83</v>
      </c>
      <c r="G71" s="10" t="s">
        <v>55</v>
      </c>
      <c r="H71" s="10" t="s">
        <v>55</v>
      </c>
      <c r="I71" s="10">
        <v>4.4400000000000004</v>
      </c>
      <c r="J71" s="10" t="s">
        <v>83</v>
      </c>
      <c r="K71" s="10" t="s">
        <v>55</v>
      </c>
      <c r="L71" s="10" t="s">
        <v>55</v>
      </c>
      <c r="M71" s="10" t="s">
        <v>55</v>
      </c>
      <c r="N71" s="10" t="s">
        <v>55</v>
      </c>
      <c r="O71" s="10" t="s">
        <v>55</v>
      </c>
      <c r="P71" s="10" t="s">
        <v>55</v>
      </c>
      <c r="Q71" s="10" t="s">
        <v>55</v>
      </c>
      <c r="R71" s="10" t="s">
        <v>55</v>
      </c>
      <c r="S71" s="10" t="s">
        <v>55</v>
      </c>
      <c r="T71" s="10" t="s">
        <v>55</v>
      </c>
      <c r="U71" s="10" t="s">
        <v>55</v>
      </c>
      <c r="V71" s="10" t="s">
        <v>55</v>
      </c>
      <c r="W71" s="10" t="s">
        <v>55</v>
      </c>
      <c r="X71" s="10" t="s">
        <v>55</v>
      </c>
      <c r="Y71" s="10" t="s">
        <v>55</v>
      </c>
      <c r="Z71" s="10" t="s">
        <v>55</v>
      </c>
      <c r="AA71" s="10" t="s">
        <v>55</v>
      </c>
      <c r="AB71" s="10" t="s">
        <v>55</v>
      </c>
      <c r="AC71" s="10" t="s">
        <v>55</v>
      </c>
      <c r="AD71" s="10" t="s">
        <v>55</v>
      </c>
      <c r="AE71" s="10" t="s">
        <v>55</v>
      </c>
      <c r="AF71" s="10" t="s">
        <v>55</v>
      </c>
      <c r="AG71" s="10" t="s">
        <v>55</v>
      </c>
      <c r="AH71" s="12" t="s">
        <v>517</v>
      </c>
      <c r="AI71" s="12"/>
    </row>
    <row r="72" spans="1:35" ht="16.5" x14ac:dyDescent="0.3">
      <c r="A72" s="10" t="s">
        <v>710</v>
      </c>
      <c r="B72" s="11" t="str">
        <f>VLOOKUP(PhysChem_Table[[#This Row],[Marker name]],BaseInfos_Table[],3,FALSE)</f>
        <v>n.a.</v>
      </c>
      <c r="C72" s="11" t="s">
        <v>55</v>
      </c>
      <c r="D72" s="11" t="s">
        <v>55</v>
      </c>
      <c r="E72" s="11" t="s">
        <v>55</v>
      </c>
      <c r="F72" s="11" t="s">
        <v>55</v>
      </c>
      <c r="G72" s="11" t="s">
        <v>55</v>
      </c>
      <c r="H72" s="11" t="s">
        <v>55</v>
      </c>
      <c r="I72" s="11" t="s">
        <v>55</v>
      </c>
      <c r="J72" s="11" t="s">
        <v>55</v>
      </c>
      <c r="K72" s="11" t="s">
        <v>55</v>
      </c>
      <c r="L72" s="11" t="s">
        <v>55</v>
      </c>
      <c r="M72" s="11" t="s">
        <v>55</v>
      </c>
      <c r="N72" s="11" t="s">
        <v>55</v>
      </c>
      <c r="O72" s="11" t="s">
        <v>55</v>
      </c>
      <c r="P72" s="11" t="s">
        <v>55</v>
      </c>
      <c r="Q72" s="11" t="s">
        <v>55</v>
      </c>
      <c r="R72" s="11" t="s">
        <v>55</v>
      </c>
      <c r="S72" s="11" t="s">
        <v>55</v>
      </c>
      <c r="T72" s="11" t="s">
        <v>55</v>
      </c>
      <c r="U72" s="11" t="s">
        <v>55</v>
      </c>
      <c r="V72" s="11" t="s">
        <v>55</v>
      </c>
      <c r="W72" s="11" t="s">
        <v>55</v>
      </c>
      <c r="X72" s="11" t="s">
        <v>55</v>
      </c>
      <c r="Y72" s="11" t="s">
        <v>55</v>
      </c>
      <c r="Z72" s="11" t="s">
        <v>55</v>
      </c>
      <c r="AA72" s="11" t="s">
        <v>55</v>
      </c>
      <c r="AB72" s="11" t="s">
        <v>55</v>
      </c>
      <c r="AC72" s="11" t="s">
        <v>55</v>
      </c>
      <c r="AD72" s="11" t="s">
        <v>55</v>
      </c>
      <c r="AE72" s="11" t="s">
        <v>55</v>
      </c>
      <c r="AF72" s="11" t="s">
        <v>55</v>
      </c>
      <c r="AG72" s="11" t="s">
        <v>55</v>
      </c>
      <c r="AH72" s="11" t="s">
        <v>55</v>
      </c>
      <c r="AI72" s="11"/>
    </row>
    <row r="73" spans="1:35" ht="16.5" x14ac:dyDescent="0.3">
      <c r="A73" s="10" t="s">
        <v>711</v>
      </c>
      <c r="B73" s="11" t="str">
        <f>VLOOKUP(PhysChem_Table[[#This Row],[Marker name]],BaseInfos_Table[],3,FALSE)</f>
        <v>n.a.</v>
      </c>
      <c r="C73" s="11" t="s">
        <v>55</v>
      </c>
      <c r="D73" s="11" t="s">
        <v>55</v>
      </c>
      <c r="E73" s="11" t="s">
        <v>55</v>
      </c>
      <c r="F73" s="11" t="s">
        <v>55</v>
      </c>
      <c r="G73" s="11" t="s">
        <v>55</v>
      </c>
      <c r="H73" s="11" t="s">
        <v>55</v>
      </c>
      <c r="I73" s="11" t="s">
        <v>55</v>
      </c>
      <c r="J73" s="11" t="s">
        <v>55</v>
      </c>
      <c r="K73" s="11" t="s">
        <v>55</v>
      </c>
      <c r="L73" s="11" t="s">
        <v>55</v>
      </c>
      <c r="M73" s="11" t="s">
        <v>55</v>
      </c>
      <c r="N73" s="11" t="s">
        <v>55</v>
      </c>
      <c r="O73" s="11" t="s">
        <v>55</v>
      </c>
      <c r="P73" s="11" t="s">
        <v>55</v>
      </c>
      <c r="Q73" s="11" t="s">
        <v>55</v>
      </c>
      <c r="R73" s="11" t="s">
        <v>55</v>
      </c>
      <c r="S73" s="11" t="s">
        <v>55</v>
      </c>
      <c r="T73" s="11" t="s">
        <v>55</v>
      </c>
      <c r="U73" s="11" t="s">
        <v>55</v>
      </c>
      <c r="V73" s="11" t="s">
        <v>55</v>
      </c>
      <c r="W73" s="11" t="s">
        <v>55</v>
      </c>
      <c r="X73" s="11" t="s">
        <v>55</v>
      </c>
      <c r="Y73" s="11" t="s">
        <v>55</v>
      </c>
      <c r="Z73" s="11" t="s">
        <v>55</v>
      </c>
      <c r="AA73" s="11" t="s">
        <v>55</v>
      </c>
      <c r="AB73" s="11" t="s">
        <v>55</v>
      </c>
      <c r="AC73" s="11" t="s">
        <v>55</v>
      </c>
      <c r="AD73" s="11" t="s">
        <v>55</v>
      </c>
      <c r="AE73" s="11" t="s">
        <v>55</v>
      </c>
      <c r="AF73" s="11" t="s">
        <v>55</v>
      </c>
      <c r="AG73" s="11" t="s">
        <v>55</v>
      </c>
      <c r="AH73" s="11" t="s">
        <v>55</v>
      </c>
      <c r="AI73" s="11"/>
    </row>
    <row r="74" spans="1:35" x14ac:dyDescent="0.3">
      <c r="A74" s="10" t="s">
        <v>712</v>
      </c>
      <c r="B74" s="11" t="str">
        <f>VLOOKUP(PhysChem_Table[[#This Row],[Marker name]],BaseInfos_Table[],3,FALSE)</f>
        <v>12005-21-9</v>
      </c>
      <c r="C74" s="10" t="s">
        <v>247</v>
      </c>
      <c r="D74" s="10" t="s">
        <v>93</v>
      </c>
      <c r="E74" s="10">
        <v>1440</v>
      </c>
      <c r="F74" s="10" t="s">
        <v>83</v>
      </c>
      <c r="G74" s="10" t="s">
        <v>84</v>
      </c>
      <c r="H74" s="10" t="s">
        <v>84</v>
      </c>
      <c r="I74" s="10">
        <v>4.55</v>
      </c>
      <c r="J74" s="10">
        <v>20</v>
      </c>
      <c r="K74" s="10" t="s">
        <v>522</v>
      </c>
      <c r="L74" s="10" t="s">
        <v>84</v>
      </c>
      <c r="M74" s="10" t="s">
        <v>84</v>
      </c>
      <c r="N74" s="10" t="s">
        <v>84</v>
      </c>
      <c r="O74" s="10" t="s">
        <v>84</v>
      </c>
      <c r="P74" s="10">
        <v>1E-4</v>
      </c>
      <c r="Q74" s="10">
        <v>20</v>
      </c>
      <c r="R74" s="10" t="s">
        <v>55</v>
      </c>
      <c r="S74" s="10" t="s">
        <v>55</v>
      </c>
      <c r="T74" s="10" t="s">
        <v>55</v>
      </c>
      <c r="U74" s="10" t="s">
        <v>84</v>
      </c>
      <c r="V74" s="10" t="s">
        <v>84</v>
      </c>
      <c r="W74" s="10" t="s">
        <v>84</v>
      </c>
      <c r="X74" s="10" t="s">
        <v>72</v>
      </c>
      <c r="Y74" s="10" t="s">
        <v>86</v>
      </c>
      <c r="Z74" s="10" t="s">
        <v>89</v>
      </c>
      <c r="AA74" s="10" t="s">
        <v>90</v>
      </c>
      <c r="AB74" s="10" t="s">
        <v>55</v>
      </c>
      <c r="AC74" s="10" t="s">
        <v>55</v>
      </c>
      <c r="AD74" s="10" t="s">
        <v>55</v>
      </c>
      <c r="AE74" s="10" t="s">
        <v>55</v>
      </c>
      <c r="AF74" s="10" t="s">
        <v>55</v>
      </c>
      <c r="AG74" s="10" t="s">
        <v>55</v>
      </c>
      <c r="AH74" s="12" t="s">
        <v>523</v>
      </c>
      <c r="AI74" s="12"/>
    </row>
    <row r="75" spans="1:35" x14ac:dyDescent="0.3">
      <c r="A75" s="10" t="s">
        <v>525</v>
      </c>
      <c r="B75" s="11" t="str">
        <f>VLOOKUP(PhysChem_Table[[#This Row],[Marker name]],BaseInfos_Table[],3,FALSE)</f>
        <v>n.a.</v>
      </c>
      <c r="C75" s="11" t="s">
        <v>55</v>
      </c>
      <c r="D75" s="11" t="s">
        <v>55</v>
      </c>
      <c r="E75" s="11" t="s">
        <v>55</v>
      </c>
      <c r="F75" s="11" t="s">
        <v>55</v>
      </c>
      <c r="G75" s="11" t="s">
        <v>55</v>
      </c>
      <c r="H75" s="11" t="s">
        <v>55</v>
      </c>
      <c r="I75" s="11" t="s">
        <v>55</v>
      </c>
      <c r="J75" s="11" t="s">
        <v>55</v>
      </c>
      <c r="K75" s="11" t="s">
        <v>55</v>
      </c>
      <c r="L75" s="11" t="s">
        <v>55</v>
      </c>
      <c r="M75" s="11" t="s">
        <v>55</v>
      </c>
      <c r="N75" s="11" t="s">
        <v>55</v>
      </c>
      <c r="O75" s="11" t="s">
        <v>55</v>
      </c>
      <c r="P75" s="11" t="s">
        <v>55</v>
      </c>
      <c r="Q75" s="11" t="s">
        <v>55</v>
      </c>
      <c r="R75" s="11" t="s">
        <v>55</v>
      </c>
      <c r="S75" s="11" t="s">
        <v>55</v>
      </c>
      <c r="T75" s="11" t="s">
        <v>55</v>
      </c>
      <c r="U75" s="11" t="s">
        <v>55</v>
      </c>
      <c r="V75" s="11" t="s">
        <v>55</v>
      </c>
      <c r="W75" s="11" t="s">
        <v>55</v>
      </c>
      <c r="X75" s="11" t="s">
        <v>55</v>
      </c>
      <c r="Y75" s="11" t="s">
        <v>55</v>
      </c>
      <c r="Z75" s="11" t="s">
        <v>55</v>
      </c>
      <c r="AA75" s="11" t="s">
        <v>55</v>
      </c>
      <c r="AB75" s="11" t="s">
        <v>55</v>
      </c>
      <c r="AC75" s="11" t="s">
        <v>55</v>
      </c>
      <c r="AD75" s="11" t="s">
        <v>55</v>
      </c>
      <c r="AE75" s="11" t="s">
        <v>55</v>
      </c>
      <c r="AF75" s="11" t="s">
        <v>55</v>
      </c>
      <c r="AG75" s="11" t="s">
        <v>55</v>
      </c>
      <c r="AH75" s="11" t="s">
        <v>55</v>
      </c>
      <c r="AI75" s="11"/>
    </row>
    <row r="76" spans="1:35" x14ac:dyDescent="0.3">
      <c r="A76" s="10" t="s">
        <v>578</v>
      </c>
      <c r="B76" s="11" t="str">
        <f>VLOOKUP(PhysChem_Table[[#This Row],[Marker name]],BaseInfos_Table[],3,FALSE)</f>
        <v>1345-25-1</v>
      </c>
      <c r="C76" s="10" t="s">
        <v>247</v>
      </c>
      <c r="D76" s="10" t="s">
        <v>253</v>
      </c>
      <c r="E76" s="10">
        <v>1369</v>
      </c>
      <c r="F76" s="10" t="s">
        <v>83</v>
      </c>
      <c r="G76" s="10" t="s">
        <v>84</v>
      </c>
      <c r="H76" s="10" t="s">
        <v>84</v>
      </c>
      <c r="I76" s="10">
        <v>5.7</v>
      </c>
      <c r="J76" s="10" t="s">
        <v>83</v>
      </c>
      <c r="K76" s="10" t="s">
        <v>589</v>
      </c>
      <c r="L76" s="10" t="s">
        <v>84</v>
      </c>
      <c r="M76" s="10" t="s">
        <v>84</v>
      </c>
      <c r="N76" s="10" t="s">
        <v>84</v>
      </c>
      <c r="O76" s="10" t="s">
        <v>84</v>
      </c>
      <c r="P76" s="10">
        <v>9.9999999999999995E-7</v>
      </c>
      <c r="Q76" s="10" t="s">
        <v>83</v>
      </c>
      <c r="R76" s="10" t="s">
        <v>55</v>
      </c>
      <c r="S76" s="10" t="s">
        <v>55</v>
      </c>
      <c r="T76" s="10" t="s">
        <v>55</v>
      </c>
      <c r="U76" s="10" t="s">
        <v>84</v>
      </c>
      <c r="V76" s="10" t="s">
        <v>84</v>
      </c>
      <c r="W76" s="10" t="s">
        <v>84</v>
      </c>
      <c r="X76" s="10" t="s">
        <v>84</v>
      </c>
      <c r="Y76" s="10" t="s">
        <v>86</v>
      </c>
      <c r="Z76" s="10" t="s">
        <v>84</v>
      </c>
      <c r="AA76" s="10" t="s">
        <v>84</v>
      </c>
      <c r="AB76" s="10" t="s">
        <v>84</v>
      </c>
      <c r="AC76" s="10" t="s">
        <v>55</v>
      </c>
      <c r="AD76" s="10" t="s">
        <v>55</v>
      </c>
      <c r="AE76" s="10" t="s">
        <v>55</v>
      </c>
      <c r="AF76" s="10" t="s">
        <v>84</v>
      </c>
      <c r="AG76" s="10" t="s">
        <v>84</v>
      </c>
      <c r="AH76" s="12" t="s">
        <v>590</v>
      </c>
      <c r="AI76" s="12"/>
    </row>
    <row r="77" spans="1:35" x14ac:dyDescent="0.3">
      <c r="A77" s="10" t="s">
        <v>573</v>
      </c>
      <c r="B77" s="11" t="str">
        <f>VLOOKUP(PhysChem_Table[[#This Row],[Marker name]],BaseInfos_Table[],3,FALSE)</f>
        <v>1314-13-2</v>
      </c>
      <c r="C77" s="10" t="s">
        <v>247</v>
      </c>
      <c r="D77" s="10" t="s">
        <v>81</v>
      </c>
      <c r="E77" s="10">
        <v>1975</v>
      </c>
      <c r="F77" s="10">
        <v>101.325</v>
      </c>
      <c r="G77" s="10" t="s">
        <v>84</v>
      </c>
      <c r="H77" s="10" t="s">
        <v>84</v>
      </c>
      <c r="I77" s="10">
        <v>5.68</v>
      </c>
      <c r="J77" s="10">
        <v>20</v>
      </c>
      <c r="K77" s="10" t="s">
        <v>593</v>
      </c>
      <c r="L77" s="10" t="s">
        <v>84</v>
      </c>
      <c r="M77" s="10" t="s">
        <v>84</v>
      </c>
      <c r="N77" s="10" t="s">
        <v>84</v>
      </c>
      <c r="O77" s="10" t="s">
        <v>84</v>
      </c>
      <c r="P77" s="10">
        <v>2.8999999999999998E-3</v>
      </c>
      <c r="Q77" s="10">
        <v>20</v>
      </c>
      <c r="R77" s="10" t="s">
        <v>55</v>
      </c>
      <c r="S77" s="10" t="s">
        <v>55</v>
      </c>
      <c r="T77" s="10" t="s">
        <v>55</v>
      </c>
      <c r="U77" s="10" t="s">
        <v>84</v>
      </c>
      <c r="V77" s="10" t="s">
        <v>84</v>
      </c>
      <c r="W77" s="10" t="s">
        <v>84</v>
      </c>
      <c r="X77" s="10" t="s">
        <v>84</v>
      </c>
      <c r="Y77" s="10" t="s">
        <v>84</v>
      </c>
      <c r="Z77" s="10" t="s">
        <v>84</v>
      </c>
      <c r="AA77" s="10" t="s">
        <v>90</v>
      </c>
      <c r="AB77" s="10" t="s">
        <v>84</v>
      </c>
      <c r="AC77" s="10" t="s">
        <v>55</v>
      </c>
      <c r="AD77" s="10" t="s">
        <v>55</v>
      </c>
      <c r="AE77" s="10">
        <v>6.72</v>
      </c>
      <c r="AF77" s="10" t="s">
        <v>84</v>
      </c>
      <c r="AG77" s="10" t="s">
        <v>84</v>
      </c>
      <c r="AH77" s="12" t="s">
        <v>594</v>
      </c>
      <c r="AI77" s="12"/>
    </row>
    <row r="78" spans="1:35" x14ac:dyDescent="0.3">
      <c r="A78" s="10" t="s">
        <v>713</v>
      </c>
      <c r="B78" s="11" t="str">
        <f>VLOOKUP(PhysChem_Table[[#This Row],[Marker name]],BaseInfos_Table[],3,FALSE)</f>
        <v>12063-19-3</v>
      </c>
      <c r="C78" s="10" t="s">
        <v>619</v>
      </c>
      <c r="D78" s="10" t="s">
        <v>290</v>
      </c>
      <c r="E78" s="10" t="s">
        <v>55</v>
      </c>
      <c r="F78" s="10" t="s">
        <v>55</v>
      </c>
      <c r="G78" s="10" t="s">
        <v>55</v>
      </c>
      <c r="H78" s="10" t="s">
        <v>55</v>
      </c>
      <c r="I78" s="10" t="s">
        <v>55</v>
      </c>
      <c r="J78" s="10" t="s">
        <v>55</v>
      </c>
      <c r="K78" s="10" t="s">
        <v>55</v>
      </c>
      <c r="L78" s="10" t="s">
        <v>55</v>
      </c>
      <c r="M78" s="10" t="s">
        <v>55</v>
      </c>
      <c r="N78" s="10" t="s">
        <v>55</v>
      </c>
      <c r="O78" s="10" t="s">
        <v>55</v>
      </c>
      <c r="P78" s="10" t="s">
        <v>55</v>
      </c>
      <c r="Q78" s="10" t="s">
        <v>55</v>
      </c>
      <c r="R78" s="10" t="s">
        <v>55</v>
      </c>
      <c r="S78" s="10" t="s">
        <v>55</v>
      </c>
      <c r="T78" s="10" t="s">
        <v>55</v>
      </c>
      <c r="U78" s="10" t="s">
        <v>55</v>
      </c>
      <c r="V78" s="10" t="s">
        <v>55</v>
      </c>
      <c r="W78" s="10" t="s">
        <v>55</v>
      </c>
      <c r="X78" s="10" t="s">
        <v>55</v>
      </c>
      <c r="Y78" s="10" t="s">
        <v>55</v>
      </c>
      <c r="Z78" s="10" t="s">
        <v>55</v>
      </c>
      <c r="AA78" s="10" t="s">
        <v>55</v>
      </c>
      <c r="AB78" s="10" t="s">
        <v>55</v>
      </c>
      <c r="AC78" s="10" t="s">
        <v>55</v>
      </c>
      <c r="AD78" s="10" t="s">
        <v>55</v>
      </c>
      <c r="AE78" s="10" t="s">
        <v>55</v>
      </c>
      <c r="AF78" s="10" t="s">
        <v>55</v>
      </c>
      <c r="AG78" s="10" t="s">
        <v>55</v>
      </c>
      <c r="AH78" s="12" t="s">
        <v>620</v>
      </c>
      <c r="AI78" s="12"/>
    </row>
    <row r="79" spans="1:35" x14ac:dyDescent="0.3">
      <c r="A79" s="10" t="s">
        <v>714</v>
      </c>
      <c r="B79" s="11" t="str">
        <f>VLOOKUP(PhysChem_Table[[#This Row],[Marker name]],BaseInfos_Table[],3,FALSE)</f>
        <v>1309-37-1</v>
      </c>
      <c r="C79" s="10" t="s">
        <v>247</v>
      </c>
      <c r="D79" s="10" t="s">
        <v>95</v>
      </c>
      <c r="E79" s="10">
        <v>1565</v>
      </c>
      <c r="F79" s="10">
        <v>101.3</v>
      </c>
      <c r="G79" s="10" t="s">
        <v>84</v>
      </c>
      <c r="H79" s="10" t="s">
        <v>84</v>
      </c>
      <c r="I79" s="10">
        <v>5.25</v>
      </c>
      <c r="J79" s="10">
        <v>25</v>
      </c>
      <c r="K79" s="10" t="s">
        <v>597</v>
      </c>
      <c r="L79" s="10" t="s">
        <v>84</v>
      </c>
      <c r="M79" s="10" t="s">
        <v>84</v>
      </c>
      <c r="N79" s="10" t="s">
        <v>84</v>
      </c>
      <c r="O79" s="10" t="s">
        <v>84</v>
      </c>
      <c r="P79" s="10">
        <v>9.9999999999999995E-7</v>
      </c>
      <c r="Q79" s="10">
        <v>20</v>
      </c>
      <c r="R79" s="10" t="s">
        <v>55</v>
      </c>
      <c r="S79" s="10" t="s">
        <v>55</v>
      </c>
      <c r="T79" s="10" t="s">
        <v>55</v>
      </c>
      <c r="U79" s="10" t="s">
        <v>84</v>
      </c>
      <c r="V79" s="10" t="s">
        <v>84</v>
      </c>
      <c r="W79" s="10" t="s">
        <v>84</v>
      </c>
      <c r="X79" s="10" t="s">
        <v>84</v>
      </c>
      <c r="Y79" s="10" t="s">
        <v>84</v>
      </c>
      <c r="Z79" s="10" t="s">
        <v>84</v>
      </c>
      <c r="AA79" s="10" t="s">
        <v>84</v>
      </c>
      <c r="AB79" s="10" t="s">
        <v>84</v>
      </c>
      <c r="AC79" s="10" t="s">
        <v>55</v>
      </c>
      <c r="AD79" s="10" t="s">
        <v>84</v>
      </c>
      <c r="AE79" s="10" t="s">
        <v>55</v>
      </c>
      <c r="AF79" s="10" t="s">
        <v>84</v>
      </c>
      <c r="AG79" s="10" t="s">
        <v>84</v>
      </c>
      <c r="AH79" s="12" t="s">
        <v>598</v>
      </c>
      <c r="AI79" s="12"/>
    </row>
    <row r="80" spans="1:35" x14ac:dyDescent="0.3">
      <c r="A80" s="10" t="s">
        <v>715</v>
      </c>
      <c r="B80" s="11" t="str">
        <f>VLOOKUP(PhysChem_Table[[#This Row],[Marker name]],BaseInfos_Table[],3,FALSE)</f>
        <v>1317-61-9</v>
      </c>
      <c r="C80" s="10" t="s">
        <v>292</v>
      </c>
      <c r="D80" s="10" t="s">
        <v>253</v>
      </c>
      <c r="E80" s="10">
        <v>1597</v>
      </c>
      <c r="F80" s="10">
        <v>101.325</v>
      </c>
      <c r="G80" s="10" t="s">
        <v>84</v>
      </c>
      <c r="H80" s="10" t="s">
        <v>84</v>
      </c>
      <c r="I80" s="10">
        <v>5.17</v>
      </c>
      <c r="J80" s="10">
        <v>20</v>
      </c>
      <c r="K80" s="10" t="s">
        <v>621</v>
      </c>
      <c r="L80" s="10" t="s">
        <v>84</v>
      </c>
      <c r="M80" s="10" t="s">
        <v>84</v>
      </c>
      <c r="N80" s="10" t="s">
        <v>84</v>
      </c>
      <c r="O80" s="10" t="s">
        <v>84</v>
      </c>
      <c r="P80" s="10">
        <v>9.9999999999999995E-8</v>
      </c>
      <c r="Q80" s="10">
        <v>20</v>
      </c>
      <c r="R80" s="10" t="s">
        <v>55</v>
      </c>
      <c r="S80" s="10" t="s">
        <v>55</v>
      </c>
      <c r="T80" s="10" t="s">
        <v>55</v>
      </c>
      <c r="U80" s="10" t="s">
        <v>84</v>
      </c>
      <c r="V80" s="10" t="s">
        <v>84</v>
      </c>
      <c r="W80" s="10" t="s">
        <v>84</v>
      </c>
      <c r="X80" s="10" t="s">
        <v>84</v>
      </c>
      <c r="Y80" s="10" t="s">
        <v>86</v>
      </c>
      <c r="Z80" s="10" t="s">
        <v>84</v>
      </c>
      <c r="AA80" s="10" t="s">
        <v>84</v>
      </c>
      <c r="AB80" s="10" t="s">
        <v>84</v>
      </c>
      <c r="AC80" s="10" t="s">
        <v>55</v>
      </c>
      <c r="AD80" s="10" t="s">
        <v>84</v>
      </c>
      <c r="AE80" s="10" t="s">
        <v>55</v>
      </c>
      <c r="AF80" s="10" t="s">
        <v>84</v>
      </c>
      <c r="AG80" s="10" t="s">
        <v>84</v>
      </c>
      <c r="AH80" s="12" t="s">
        <v>622</v>
      </c>
      <c r="AI80" s="12"/>
    </row>
    <row r="81" spans="1:35" x14ac:dyDescent="0.3">
      <c r="A81" s="10" t="s">
        <v>601</v>
      </c>
      <c r="B81" s="11" t="str">
        <f>VLOOKUP(PhysChem_Table[[#This Row],[Marker name]],BaseInfos_Table[],3,FALSE)</f>
        <v>n.a.</v>
      </c>
      <c r="C81" s="10" t="s">
        <v>247</v>
      </c>
      <c r="D81" s="10" t="s">
        <v>616</v>
      </c>
      <c r="E81" s="10">
        <v>124</v>
      </c>
      <c r="F81" s="10" t="s">
        <v>83</v>
      </c>
      <c r="G81" s="10" t="s">
        <v>84</v>
      </c>
      <c r="H81" s="10" t="s">
        <v>84</v>
      </c>
      <c r="I81" s="10">
        <v>1.3</v>
      </c>
      <c r="J81" s="10">
        <v>20</v>
      </c>
      <c r="K81" s="10" t="s">
        <v>617</v>
      </c>
      <c r="L81" s="10" t="s">
        <v>84</v>
      </c>
      <c r="M81" s="10" t="s">
        <v>84</v>
      </c>
      <c r="N81" s="10" t="s">
        <v>84</v>
      </c>
      <c r="O81" s="10" t="s">
        <v>84</v>
      </c>
      <c r="P81" s="10">
        <v>0.4</v>
      </c>
      <c r="Q81" s="10">
        <v>20</v>
      </c>
      <c r="R81" s="10" t="s">
        <v>55</v>
      </c>
      <c r="S81" s="10" t="s">
        <v>55</v>
      </c>
      <c r="T81" s="10" t="s">
        <v>55</v>
      </c>
      <c r="U81" s="10" t="s">
        <v>84</v>
      </c>
      <c r="V81" s="10" t="s">
        <v>84</v>
      </c>
      <c r="W81" s="10" t="s">
        <v>84</v>
      </c>
      <c r="X81" s="10" t="s">
        <v>72</v>
      </c>
      <c r="Y81" s="10" t="s">
        <v>86</v>
      </c>
      <c r="Z81" s="10" t="s">
        <v>84</v>
      </c>
      <c r="AA81" s="10" t="s">
        <v>84</v>
      </c>
      <c r="AB81" s="10" t="s">
        <v>55</v>
      </c>
      <c r="AC81" s="10" t="s">
        <v>55</v>
      </c>
      <c r="AD81" s="10" t="s">
        <v>55</v>
      </c>
      <c r="AE81" s="10" t="s">
        <v>55</v>
      </c>
      <c r="AF81" s="10" t="s">
        <v>55</v>
      </c>
      <c r="AG81" s="10" t="s">
        <v>55</v>
      </c>
      <c r="AH81" s="12" t="s">
        <v>618</v>
      </c>
      <c r="AI81" s="12"/>
    </row>
    <row r="82" spans="1:35" x14ac:dyDescent="0.3">
      <c r="A82" s="10" t="s">
        <v>602</v>
      </c>
      <c r="B82" s="11" t="str">
        <f>VLOOKUP(PhysChem_Table[[#This Row],[Marker name]],BaseInfos_Table[],3,FALSE)</f>
        <v>7440-44-0</v>
      </c>
      <c r="C82" s="10" t="s">
        <v>247</v>
      </c>
      <c r="D82" s="10" t="s">
        <v>253</v>
      </c>
      <c r="E82" s="10" t="s">
        <v>84</v>
      </c>
      <c r="F82" s="10" t="s">
        <v>84</v>
      </c>
      <c r="G82" s="10" t="s">
        <v>84</v>
      </c>
      <c r="H82" s="10" t="s">
        <v>84</v>
      </c>
      <c r="I82" s="10">
        <v>2.31</v>
      </c>
      <c r="J82" s="10">
        <v>20</v>
      </c>
      <c r="K82" s="10" t="s">
        <v>613</v>
      </c>
      <c r="L82" s="10" t="s">
        <v>84</v>
      </c>
      <c r="M82" s="10" t="s">
        <v>84</v>
      </c>
      <c r="N82" s="10" t="s">
        <v>84</v>
      </c>
      <c r="O82" s="10" t="s">
        <v>84</v>
      </c>
      <c r="P82" s="10">
        <v>1E-4</v>
      </c>
      <c r="Q82" s="10">
        <v>20</v>
      </c>
      <c r="R82" s="10" t="s">
        <v>55</v>
      </c>
      <c r="S82" s="10" t="s">
        <v>55</v>
      </c>
      <c r="T82" s="10" t="s">
        <v>55</v>
      </c>
      <c r="U82" s="10" t="s">
        <v>84</v>
      </c>
      <c r="V82" s="10" t="s">
        <v>84</v>
      </c>
      <c r="W82" s="10" t="s">
        <v>84</v>
      </c>
      <c r="X82" s="10" t="s">
        <v>72</v>
      </c>
      <c r="Y82" s="10" t="s">
        <v>86</v>
      </c>
      <c r="Z82" s="10" t="s">
        <v>84</v>
      </c>
      <c r="AA82" s="10" t="s">
        <v>84</v>
      </c>
      <c r="AB82" s="10" t="s">
        <v>84</v>
      </c>
      <c r="AC82" s="10" t="s">
        <v>55</v>
      </c>
      <c r="AD82" s="10" t="s">
        <v>55</v>
      </c>
      <c r="AE82" s="10" t="s">
        <v>55</v>
      </c>
      <c r="AF82" s="10" t="s">
        <v>84</v>
      </c>
      <c r="AG82" s="10" t="s">
        <v>84</v>
      </c>
      <c r="AH82" s="12" t="s">
        <v>614</v>
      </c>
      <c r="AI82" s="12"/>
    </row>
    <row r="83" spans="1:35" x14ac:dyDescent="0.3">
      <c r="B83" s="11" t="e">
        <f>VLOOKUP(PhysChem_Table[[#This Row],[Marker name]],BaseInfos_Table[],3,FALSE)</f>
        <v>#N/A</v>
      </c>
    </row>
    <row r="84" spans="1:35" x14ac:dyDescent="0.3">
      <c r="B84" s="11" t="e">
        <f>VLOOKUP(PhysChem_Table[[#This Row],[Marker name]],BaseInfos_Table[],3,FALSE)</f>
        <v>#N/A</v>
      </c>
    </row>
    <row r="85" spans="1:35" x14ac:dyDescent="0.3">
      <c r="B85" s="11" t="e">
        <f>VLOOKUP(PhysChem_Table[[#This Row],[Marker name]],BaseInfos_Table[],3,FALSE)</f>
        <v>#N/A</v>
      </c>
    </row>
    <row r="86" spans="1:35" x14ac:dyDescent="0.3">
      <c r="B86" s="11" t="e">
        <f>VLOOKUP(PhysChem_Table[[#This Row],[Marker name]],BaseInfos_Table[],3,FALSE)</f>
        <v>#N/A</v>
      </c>
    </row>
    <row r="87" spans="1:35" x14ac:dyDescent="0.3">
      <c r="B87" s="11" t="e">
        <f>VLOOKUP(PhysChem_Table[[#This Row],[Marker name]],BaseInfos_Table[],3,FALSE)</f>
        <v>#N/A</v>
      </c>
    </row>
    <row r="88" spans="1:35" x14ac:dyDescent="0.3">
      <c r="B88" s="11" t="e">
        <f>VLOOKUP(PhysChem_Table[[#This Row],[Marker name]],BaseInfos_Table[],3,FALSE)</f>
        <v>#N/A</v>
      </c>
    </row>
    <row r="89" spans="1:35" x14ac:dyDescent="0.3">
      <c r="B89" s="11" t="e">
        <f>VLOOKUP(PhysChem_Table[[#This Row],[Marker name]],BaseInfos_Table[],3,FALSE)</f>
        <v>#N/A</v>
      </c>
    </row>
    <row r="90" spans="1:35" x14ac:dyDescent="0.3">
      <c r="B90" s="11" t="e">
        <f>VLOOKUP(PhysChem_Table[[#This Row],[Marker name]],BaseInfos_Table[],3,FALSE)</f>
        <v>#N/A</v>
      </c>
    </row>
    <row r="91" spans="1:35" x14ac:dyDescent="0.3">
      <c r="B91" s="11" t="e">
        <f>VLOOKUP(PhysChem_Table[[#This Row],[Marker name]],BaseInfos_Table[],3,FALSE)</f>
        <v>#N/A</v>
      </c>
    </row>
    <row r="92" spans="1:35" x14ac:dyDescent="0.3">
      <c r="B92" s="11" t="e">
        <f>VLOOKUP(PhysChem_Table[[#This Row],[Marker name]],BaseInfos_Table[],3,FALSE)</f>
        <v>#N/A</v>
      </c>
    </row>
    <row r="93" spans="1:35" x14ac:dyDescent="0.3">
      <c r="B93" s="11" t="e">
        <f>VLOOKUP(PhysChem_Table[[#This Row],[Marker name]],BaseInfos_Table[],3,FALSE)</f>
        <v>#N/A</v>
      </c>
    </row>
    <row r="94" spans="1:35" x14ac:dyDescent="0.3">
      <c r="B94" s="11" t="e">
        <f>VLOOKUP(PhysChem_Table[[#This Row],[Marker name]],BaseInfos_Table[],3,FALSE)</f>
        <v>#N/A</v>
      </c>
    </row>
    <row r="95" spans="1:35" x14ac:dyDescent="0.3">
      <c r="B95" s="11" t="e">
        <f>VLOOKUP(PhysChem_Table[[#This Row],[Marker name]],BaseInfos_Table[],3,FALSE)</f>
        <v>#N/A</v>
      </c>
    </row>
    <row r="96" spans="1:35" x14ac:dyDescent="0.3">
      <c r="B96" s="11" t="e">
        <f>VLOOKUP(PhysChem_Table[[#This Row],[Marker name]],BaseInfos_Table[],3,FALSE)</f>
        <v>#N/A</v>
      </c>
    </row>
    <row r="97" spans="2:2" x14ac:dyDescent="0.3">
      <c r="B97" s="11" t="e">
        <f>VLOOKUP(PhysChem_Table[[#This Row],[Marker name]],BaseInfos_Table[],3,FALSE)</f>
        <v>#N/A</v>
      </c>
    </row>
    <row r="98" spans="2:2" x14ac:dyDescent="0.3">
      <c r="B98" s="11" t="e">
        <f>VLOOKUP(PhysChem_Table[[#This Row],[Marker name]],BaseInfos_Table[],3,FALSE)</f>
        <v>#N/A</v>
      </c>
    </row>
    <row r="99" spans="2:2" x14ac:dyDescent="0.3">
      <c r="B99" s="11" t="e">
        <f>VLOOKUP(PhysChem_Table[[#This Row],[Marker name]],BaseInfos_Table[],3,FALSE)</f>
        <v>#N/A</v>
      </c>
    </row>
  </sheetData>
  <mergeCells count="7">
    <mergeCell ref="AH2:AI2"/>
    <mergeCell ref="L2:V2"/>
    <mergeCell ref="W2:AG2"/>
    <mergeCell ref="C2:D2"/>
    <mergeCell ref="E2:F2"/>
    <mergeCell ref="G2:H2"/>
    <mergeCell ref="I2:J2"/>
  </mergeCells>
  <phoneticPr fontId="1" type="noConversion"/>
  <hyperlinks>
    <hyperlink ref="AH49" r:id="rId1"/>
    <hyperlink ref="AH66" r:id="rId2"/>
    <hyperlink ref="AH56" r:id="rId3"/>
    <hyperlink ref="AH4" r:id="rId4"/>
    <hyperlink ref="AH5" r:id="rId5"/>
    <hyperlink ref="AH6" r:id="rId6"/>
    <hyperlink ref="AH7" r:id="rId7"/>
    <hyperlink ref="AH8" r:id="rId8"/>
    <hyperlink ref="AH9" r:id="rId9"/>
    <hyperlink ref="AH10" r:id="rId10"/>
    <hyperlink ref="AH11" r:id="rId11"/>
    <hyperlink ref="AH17" r:id="rId12"/>
    <hyperlink ref="AH18" r:id="rId13"/>
    <hyperlink ref="AH19" r:id="rId14"/>
    <hyperlink ref="AH20" r:id="rId15"/>
    <hyperlink ref="AH21" r:id="rId16"/>
    <hyperlink ref="AH22" r:id="rId17"/>
    <hyperlink ref="AH23" r:id="rId18"/>
    <hyperlink ref="AH24" r:id="rId19"/>
    <hyperlink ref="AH25" r:id="rId20"/>
    <hyperlink ref="AH26" r:id="rId21"/>
    <hyperlink ref="AH28" r:id="rId22"/>
    <hyperlink ref="AH29" r:id="rId23"/>
    <hyperlink ref="AH30" r:id="rId24"/>
    <hyperlink ref="AH31" r:id="rId25"/>
    <hyperlink ref="AH32" r:id="rId26"/>
    <hyperlink ref="AH33" r:id="rId27"/>
    <hyperlink ref="AH34" r:id="rId28"/>
    <hyperlink ref="AH36" r:id="rId29"/>
    <hyperlink ref="AH37" r:id="rId30"/>
    <hyperlink ref="AH46" r:id="rId31" display="http://www.chemspider.com/Chemical-Structure.3753585.html?rid=feb09781-aedc-40ff-911b-0f58635eb465"/>
    <hyperlink ref="AH47" r:id="rId32"/>
    <hyperlink ref="AH48" r:id="rId33"/>
    <hyperlink ref="AH50" r:id="rId34"/>
    <hyperlink ref="AH74" r:id="rId35"/>
    <hyperlink ref="AH71" r:id="rId36"/>
    <hyperlink ref="AH76" r:id="rId37"/>
    <hyperlink ref="AH77" r:id="rId38"/>
    <hyperlink ref="AH79" r:id="rId39"/>
    <hyperlink ref="AH82" r:id="rId40"/>
    <hyperlink ref="AH81" r:id="rId41"/>
    <hyperlink ref="AH78" r:id="rId42"/>
    <hyperlink ref="AH80" r:id="rId43"/>
    <hyperlink ref="AI29" r:id="rId44"/>
    <hyperlink ref="AI50" r:id="rId45"/>
    <hyperlink ref="AI47" r:id="rId46"/>
    <hyperlink ref="AH35" r:id="rId47"/>
  </hyperlinks>
  <pageMargins left="0.7" right="0.7" top="0.75" bottom="0.75" header="0.3" footer="0.3"/>
  <pageSetup paperSize="9" orientation="portrait" r:id="rId48"/>
  <legacyDrawing r:id="rId49"/>
  <tableParts count="1">
    <tablePart r:id="rId50"/>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306"/>
  <sheetViews>
    <sheetView zoomScaleNormal="100" workbookViewId="0">
      <pane xSplit="1" topLeftCell="B1" activePane="topRight" state="frozen"/>
      <selection pane="topRight" activeCell="A9" sqref="A9"/>
    </sheetView>
  </sheetViews>
  <sheetFormatPr baseColWidth="10" defaultColWidth="9.28515625" defaultRowHeight="15" x14ac:dyDescent="0.3"/>
  <cols>
    <col min="1" max="1" width="93.28515625" style="27" bestFit="1" customWidth="1"/>
    <col min="2" max="2" width="20.5703125" style="27" bestFit="1" customWidth="1"/>
    <col min="3" max="3" width="18.28515625" style="27" bestFit="1" customWidth="1"/>
    <col min="4" max="4" width="20.42578125" style="41" bestFit="1" customWidth="1"/>
    <col min="5" max="5" width="10.28515625" style="41" bestFit="1" customWidth="1"/>
    <col min="6" max="6" width="8.42578125" style="41" bestFit="1" customWidth="1"/>
    <col min="7" max="7" width="12" style="41" bestFit="1" customWidth="1"/>
    <col min="8" max="8" width="7.5703125" style="41" bestFit="1" customWidth="1"/>
    <col min="9" max="9" width="12" style="41" bestFit="1" customWidth="1"/>
    <col min="10" max="10" width="7.5703125" style="41" bestFit="1" customWidth="1"/>
    <col min="11" max="11" width="12" style="41" bestFit="1" customWidth="1"/>
    <col min="12" max="12" width="7.5703125" style="41" bestFit="1" customWidth="1"/>
    <col min="13" max="13" width="100.85546875" style="41" bestFit="1" customWidth="1"/>
    <col min="14" max="14" width="7.28515625" style="41" bestFit="1" customWidth="1"/>
    <col min="15" max="15" width="8.42578125" style="41" bestFit="1" customWidth="1"/>
    <col min="16" max="16" width="9.42578125" style="41" bestFit="1" customWidth="1"/>
    <col min="17" max="17" width="7.28515625" style="41" bestFit="1" customWidth="1"/>
    <col min="18" max="18" width="12" style="41" bestFit="1" customWidth="1"/>
    <col min="19" max="19" width="8.28515625" style="41" bestFit="1" customWidth="1"/>
    <col min="20" max="20" width="9.42578125" style="41" bestFit="1" customWidth="1"/>
    <col min="21" max="21" width="8.28515625" style="41" bestFit="1" customWidth="1"/>
    <col min="22" max="22" width="9.42578125" style="41" bestFit="1" customWidth="1"/>
    <col min="23" max="23" width="23.85546875" style="41" bestFit="1" customWidth="1"/>
    <col min="24" max="24" width="5.140625" style="41" bestFit="1" customWidth="1"/>
    <col min="25" max="25" width="8" style="41" bestFit="1" customWidth="1"/>
    <col min="26" max="26" width="9.42578125" style="27" bestFit="1" customWidth="1"/>
    <col min="27" max="27" width="7.28515625" style="27" bestFit="1" customWidth="1"/>
    <col min="28" max="28" width="12" style="27" bestFit="1" customWidth="1"/>
    <col min="29" max="29" width="7.28515625" style="27" bestFit="1" customWidth="1"/>
    <col min="30" max="30" width="12" style="27" bestFit="1" customWidth="1"/>
    <col min="31" max="31" width="7.28515625" style="27" bestFit="1" customWidth="1"/>
    <col min="32" max="32" width="12" style="27" bestFit="1" customWidth="1"/>
    <col min="33" max="33" width="19.5703125" style="27" bestFit="1" customWidth="1"/>
    <col min="34" max="34" width="7.28515625" style="27" bestFit="1" customWidth="1"/>
    <col min="35" max="35" width="12" style="27" bestFit="1" customWidth="1"/>
    <col min="36" max="36" width="8.28515625" style="27" bestFit="1" customWidth="1"/>
    <col min="37" max="37" width="12" style="27" bestFit="1" customWidth="1"/>
    <col min="38" max="38" width="9.42578125" style="27" bestFit="1" customWidth="1"/>
    <col min="39" max="39" width="8.28515625" style="27" bestFit="1" customWidth="1"/>
    <col min="40" max="40" width="12" style="27" bestFit="1" customWidth="1"/>
    <col min="41" max="41" width="8.28515625" style="27" bestFit="1" customWidth="1"/>
    <col min="42" max="42" width="12" style="27" bestFit="1" customWidth="1"/>
    <col min="43" max="43" width="8.28515625" style="27" bestFit="1" customWidth="1"/>
    <col min="44" max="44" width="12" style="27" bestFit="1" customWidth="1"/>
    <col min="45" max="45" width="51.85546875" style="27" bestFit="1" customWidth="1"/>
    <col min="46" max="46" width="6.85546875" style="27" bestFit="1" customWidth="1"/>
    <col min="47" max="47" width="5.28515625" style="27" bestFit="1" customWidth="1"/>
    <col min="48" max="48" width="17" style="27" bestFit="1" customWidth="1"/>
    <col min="49" max="16384" width="9.28515625" style="27"/>
  </cols>
  <sheetData>
    <row r="1" spans="1:48" s="23" customFormat="1" x14ac:dyDescent="0.3">
      <c r="A1" s="33" t="s">
        <v>772</v>
      </c>
      <c r="B1" s="32"/>
      <c r="C1" s="31"/>
      <c r="D1" s="58" t="s">
        <v>756</v>
      </c>
      <c r="E1" s="58"/>
      <c r="F1" s="58"/>
      <c r="G1" s="58"/>
      <c r="H1" s="58"/>
      <c r="I1" s="58"/>
      <c r="J1" s="58"/>
      <c r="K1" s="58"/>
      <c r="L1" s="58"/>
      <c r="M1" s="58"/>
      <c r="N1" s="58"/>
      <c r="O1" s="58"/>
      <c r="P1" s="58"/>
      <c r="Q1" s="58"/>
      <c r="R1" s="58"/>
      <c r="S1" s="58"/>
      <c r="T1" s="58"/>
      <c r="U1" s="58"/>
      <c r="V1" s="58"/>
      <c r="W1" s="58"/>
      <c r="X1" s="58"/>
      <c r="Y1" s="58"/>
      <c r="Z1" s="59" t="s">
        <v>757</v>
      </c>
      <c r="AA1" s="59"/>
      <c r="AB1" s="59"/>
      <c r="AC1" s="59"/>
      <c r="AD1" s="59"/>
      <c r="AE1" s="59"/>
      <c r="AF1" s="59"/>
      <c r="AG1" s="59"/>
      <c r="AH1" s="59"/>
      <c r="AI1" s="59"/>
      <c r="AJ1" s="59"/>
      <c r="AK1" s="59"/>
      <c r="AL1" s="59"/>
      <c r="AM1" s="59"/>
      <c r="AN1" s="59"/>
      <c r="AO1" s="59"/>
      <c r="AP1" s="59"/>
      <c r="AQ1" s="59"/>
      <c r="AR1" s="59"/>
      <c r="AS1" s="59"/>
      <c r="AT1" s="59"/>
      <c r="AU1" s="59"/>
      <c r="AV1" s="59"/>
    </row>
    <row r="2" spans="1:48" s="23" customFormat="1" x14ac:dyDescent="0.3">
      <c r="A2" s="31"/>
      <c r="B2" s="32"/>
      <c r="C2" s="31"/>
      <c r="D2" s="58"/>
      <c r="E2" s="58"/>
      <c r="F2" s="58"/>
      <c r="G2" s="58"/>
      <c r="H2" s="58"/>
      <c r="I2" s="58"/>
      <c r="J2" s="58"/>
      <c r="K2" s="58"/>
      <c r="L2" s="58"/>
      <c r="M2" s="58"/>
      <c r="N2" s="58" t="s">
        <v>259</v>
      </c>
      <c r="O2" s="58"/>
      <c r="P2" s="58"/>
      <c r="Q2" s="58"/>
      <c r="R2" s="58"/>
      <c r="S2" s="58"/>
      <c r="T2" s="58"/>
      <c r="U2" s="58"/>
      <c r="V2" s="58"/>
      <c r="W2" s="58"/>
      <c r="X2" s="57" t="s">
        <v>295</v>
      </c>
      <c r="Y2" s="57"/>
      <c r="Z2" s="59" t="s">
        <v>339</v>
      </c>
      <c r="AA2" s="59"/>
      <c r="AB2" s="59"/>
      <c r="AC2" s="59"/>
      <c r="AD2" s="59"/>
      <c r="AE2" s="59"/>
      <c r="AF2" s="59"/>
      <c r="AG2" s="59"/>
      <c r="AH2" s="59" t="s">
        <v>259</v>
      </c>
      <c r="AI2" s="59"/>
      <c r="AJ2" s="59"/>
      <c r="AK2" s="59"/>
      <c r="AL2" s="59"/>
      <c r="AM2" s="59"/>
      <c r="AN2" s="59"/>
      <c r="AO2" s="59"/>
      <c r="AP2" s="59"/>
      <c r="AQ2" s="59"/>
      <c r="AR2" s="59"/>
      <c r="AS2" s="59"/>
      <c r="AT2" s="60" t="s">
        <v>295</v>
      </c>
      <c r="AU2" s="60"/>
      <c r="AV2" s="60"/>
    </row>
    <row r="3" spans="1:48" s="23" customFormat="1" x14ac:dyDescent="0.3">
      <c r="A3" s="24" t="s">
        <v>716</v>
      </c>
      <c r="B3" s="32" t="s">
        <v>718</v>
      </c>
      <c r="C3" s="31" t="s">
        <v>685</v>
      </c>
      <c r="D3" s="58" t="s">
        <v>339</v>
      </c>
      <c r="E3" s="58"/>
      <c r="F3" s="58"/>
      <c r="G3" s="58"/>
      <c r="H3" s="58"/>
      <c r="I3" s="58"/>
      <c r="J3" s="58"/>
      <c r="K3" s="58"/>
      <c r="L3" s="58"/>
      <c r="M3" s="58"/>
      <c r="N3" s="58" t="s">
        <v>258</v>
      </c>
      <c r="O3" s="58"/>
      <c r="P3" s="40"/>
      <c r="Q3" s="58" t="s">
        <v>349</v>
      </c>
      <c r="R3" s="58"/>
      <c r="S3" s="58" t="s">
        <v>356</v>
      </c>
      <c r="T3" s="58"/>
      <c r="U3" s="58" t="s">
        <v>357</v>
      </c>
      <c r="V3" s="58"/>
      <c r="W3" s="40"/>
      <c r="X3" s="57"/>
      <c r="Y3" s="57"/>
      <c r="Z3" s="26" t="s">
        <v>347</v>
      </c>
      <c r="AA3" s="59" t="s">
        <v>349</v>
      </c>
      <c r="AB3" s="59"/>
      <c r="AC3" s="59" t="s">
        <v>356</v>
      </c>
      <c r="AD3" s="59"/>
      <c r="AE3" s="26" t="s">
        <v>357</v>
      </c>
      <c r="AF3" s="26"/>
      <c r="AG3" s="26"/>
      <c r="AH3" s="59" t="s">
        <v>258</v>
      </c>
      <c r="AI3" s="59"/>
      <c r="AJ3" s="59"/>
      <c r="AK3" s="59"/>
      <c r="AL3" s="26" t="s">
        <v>347</v>
      </c>
      <c r="AM3" s="59" t="s">
        <v>349</v>
      </c>
      <c r="AN3" s="59"/>
      <c r="AO3" s="59" t="s">
        <v>356</v>
      </c>
      <c r="AP3" s="59"/>
      <c r="AQ3" s="59" t="s">
        <v>357</v>
      </c>
      <c r="AR3" s="59"/>
      <c r="AS3" s="26"/>
      <c r="AT3" s="60"/>
      <c r="AU3" s="60"/>
      <c r="AV3" s="60"/>
    </row>
    <row r="4" spans="1:48" x14ac:dyDescent="0.3">
      <c r="A4" s="27" t="s">
        <v>719</v>
      </c>
      <c r="B4" s="27" t="s">
        <v>717</v>
      </c>
      <c r="C4" s="27" t="s">
        <v>52</v>
      </c>
      <c r="D4" s="45" t="s">
        <v>343</v>
      </c>
      <c r="E4" s="45" t="s">
        <v>515</v>
      </c>
      <c r="F4" s="45" t="s">
        <v>347</v>
      </c>
      <c r="G4" s="45" t="s">
        <v>293</v>
      </c>
      <c r="H4" s="45" t="s">
        <v>317</v>
      </c>
      <c r="I4" s="45" t="s">
        <v>351</v>
      </c>
      <c r="J4" s="45" t="s">
        <v>350</v>
      </c>
      <c r="K4" s="45" t="s">
        <v>353</v>
      </c>
      <c r="L4" s="45" t="s">
        <v>352</v>
      </c>
      <c r="M4" s="45" t="s">
        <v>4</v>
      </c>
      <c r="N4" s="45" t="s">
        <v>337</v>
      </c>
      <c r="O4" s="45" t="s">
        <v>338</v>
      </c>
      <c r="P4" s="45" t="s">
        <v>405</v>
      </c>
      <c r="Q4" s="45" t="s">
        <v>294</v>
      </c>
      <c r="R4" s="45" t="s">
        <v>318</v>
      </c>
      <c r="S4" s="45" t="s">
        <v>366</v>
      </c>
      <c r="T4" s="45" t="s">
        <v>365</v>
      </c>
      <c r="U4" s="45" t="s">
        <v>367</v>
      </c>
      <c r="V4" s="45" t="s">
        <v>364</v>
      </c>
      <c r="W4" s="45" t="s">
        <v>297</v>
      </c>
      <c r="X4" s="45" t="s">
        <v>296</v>
      </c>
      <c r="Y4" s="45" t="s">
        <v>340</v>
      </c>
      <c r="Z4" s="45" t="s">
        <v>368</v>
      </c>
      <c r="AA4" s="45" t="s">
        <v>341</v>
      </c>
      <c r="AB4" s="45" t="s">
        <v>342</v>
      </c>
      <c r="AC4" s="45" t="s">
        <v>358</v>
      </c>
      <c r="AD4" s="45" t="s">
        <v>355</v>
      </c>
      <c r="AE4" s="45" t="s">
        <v>359</v>
      </c>
      <c r="AF4" s="45" t="s">
        <v>354</v>
      </c>
      <c r="AG4" s="45" t="s">
        <v>773</v>
      </c>
      <c r="AH4" s="45" t="s">
        <v>327</v>
      </c>
      <c r="AI4" s="45" t="s">
        <v>328</v>
      </c>
      <c r="AJ4" s="45" t="s">
        <v>417</v>
      </c>
      <c r="AK4" s="45" t="s">
        <v>416</v>
      </c>
      <c r="AL4" s="45" t="s">
        <v>375</v>
      </c>
      <c r="AM4" s="45" t="s">
        <v>329</v>
      </c>
      <c r="AN4" s="45" t="s">
        <v>330</v>
      </c>
      <c r="AO4" s="45" t="s">
        <v>362</v>
      </c>
      <c r="AP4" s="45" t="s">
        <v>361</v>
      </c>
      <c r="AQ4" s="45" t="s">
        <v>363</v>
      </c>
      <c r="AR4" s="45" t="s">
        <v>360</v>
      </c>
      <c r="AS4" s="45" t="s">
        <v>331</v>
      </c>
      <c r="AT4" s="45" t="s">
        <v>332</v>
      </c>
      <c r="AU4" s="45" t="s">
        <v>348</v>
      </c>
      <c r="AV4" s="45" t="s">
        <v>333</v>
      </c>
    </row>
    <row r="5" spans="1:48" x14ac:dyDescent="0.3">
      <c r="A5" s="27" t="s">
        <v>0</v>
      </c>
      <c r="B5" s="29" t="str">
        <f>VLOOKUP(Table4[[#This Row],[Marker name]],BaseInfos_Table[],3,FALSE)</f>
        <v>1533-45-5</v>
      </c>
      <c r="C5" s="29" t="str">
        <f>VLOOKUP(Table4[[#This Row],[Marker name]],BaseInfos_Table[#All],6,FALSE)</f>
        <v>UV-Vis</v>
      </c>
      <c r="D5" s="42" t="s">
        <v>344</v>
      </c>
      <c r="E5" s="42"/>
      <c r="F5" s="42">
        <v>3</v>
      </c>
      <c r="G5" s="42">
        <f>(1*10^7)/Table4[[#This Row],[cm-1]]</f>
        <v>13333.333333333334</v>
      </c>
      <c r="H5" s="42">
        <v>750</v>
      </c>
      <c r="I5" s="42">
        <f>(1*10^7)/Table4[[#This Row],[cm-2]]</f>
        <v>14285.714285714286</v>
      </c>
      <c r="J5" s="42">
        <v>700</v>
      </c>
      <c r="K5" s="42">
        <f>(1*10^7)/Table4[[#This Row],[cm-3]]</f>
        <v>13071.895424836601</v>
      </c>
      <c r="L5" s="42">
        <v>765</v>
      </c>
      <c r="M5" s="43" t="s">
        <v>345</v>
      </c>
      <c r="R5" s="41" t="e">
        <f>(1*10^7)/Table4[[#This Row],[nm2]]</f>
        <v>#DIV/0!</v>
      </c>
      <c r="T5" s="41" t="e">
        <f>(1*10^7)/Table4[[#This Row],[nm12]]</f>
        <v>#DIV/0!</v>
      </c>
      <c r="Z5" s="28">
        <v>3</v>
      </c>
      <c r="AA5" s="28">
        <v>358</v>
      </c>
      <c r="AB5" s="28">
        <f>(1/Table4[[#This Row],[nm5]])*10^7</f>
        <v>27932.96089385475</v>
      </c>
      <c r="AC5" s="28">
        <v>374</v>
      </c>
      <c r="AD5" s="28">
        <f>(1/Table4[[#This Row],[nm8]])*10^7</f>
        <v>26737.967914438501</v>
      </c>
      <c r="AE5" s="28">
        <v>395</v>
      </c>
      <c r="AF5" s="28">
        <f>(1/Table4[[#This Row],[nm9]])*10^7</f>
        <v>25316.455696202531</v>
      </c>
      <c r="AG5" s="28" t="s">
        <v>720</v>
      </c>
      <c r="AH5" s="28">
        <v>350</v>
      </c>
      <c r="AI5" s="28">
        <f>(1/Table4[[#This Row],[nm4]])*10^7</f>
        <v>28571.428571428572</v>
      </c>
      <c r="AJ5" s="28"/>
      <c r="AK5" s="28" t="e">
        <f>(1/Table4[[#This Row],[nm14]])*10^7</f>
        <v>#DIV/0!</v>
      </c>
      <c r="AL5" s="28">
        <v>3</v>
      </c>
      <c r="AM5" s="28">
        <v>384</v>
      </c>
      <c r="AN5" s="28">
        <f>(1/Table4[[#This Row],[nm28]])*10^7</f>
        <v>26041.666666666664</v>
      </c>
      <c r="AO5" s="28">
        <v>434</v>
      </c>
      <c r="AP5" s="28">
        <f>(1/Table4[[#This Row],[nm10]])*10^7</f>
        <v>23041.474654377882</v>
      </c>
      <c r="AQ5" s="28">
        <v>474</v>
      </c>
      <c r="AR5" s="28">
        <f>(1/Table4[[#This Row],[nm11]])*10^7</f>
        <v>21097.046413502107</v>
      </c>
      <c r="AS5" s="28" t="s">
        <v>720</v>
      </c>
      <c r="AT5" s="28">
        <f>Table4[[#This Row],[Φ]]*100</f>
        <v>88</v>
      </c>
      <c r="AU5" s="28">
        <v>0.88</v>
      </c>
      <c r="AV5" s="28" t="s">
        <v>720</v>
      </c>
    </row>
    <row r="6" spans="1:48" x14ac:dyDescent="0.3">
      <c r="A6" s="27" t="s">
        <v>1</v>
      </c>
      <c r="B6" s="29" t="str">
        <f>VLOOKUP(Table4[[#This Row],[Marker name]],BaseInfos_Table[],3,FALSE)</f>
        <v>7128-64-5</v>
      </c>
      <c r="C6" s="27" t="str">
        <f>VLOOKUP(Table4[[#This Row],[Marker name]],BaseInfos_Table[#All],6,FALSE)</f>
        <v>UV-Vis</v>
      </c>
      <c r="D6" s="42" t="s">
        <v>344</v>
      </c>
      <c r="E6" s="42"/>
      <c r="F6" s="42">
        <v>1</v>
      </c>
      <c r="G6" s="41">
        <f>(1*10^7)/Table4[[#This Row],[cm-1]]</f>
        <v>12269.938650306749</v>
      </c>
      <c r="H6" s="41">
        <v>815</v>
      </c>
      <c r="I6" s="41" t="e">
        <f>(1*10^7)/Table4[[#This Row],[cm-2]]</f>
        <v>#DIV/0!</v>
      </c>
      <c r="K6" s="41" t="e">
        <f>(1*10^7)/Table4[[#This Row],[cm-3]]</f>
        <v>#DIV/0!</v>
      </c>
      <c r="M6" s="44" t="s">
        <v>346</v>
      </c>
      <c r="R6" s="41" t="e">
        <f>(1*10^7)/Table4[[#This Row],[nm2]]</f>
        <v>#DIV/0!</v>
      </c>
      <c r="T6" s="41" t="e">
        <f>(1*10^7)/Table4[[#This Row],[nm12]]</f>
        <v>#DIV/0!</v>
      </c>
      <c r="Z6" s="28">
        <v>3</v>
      </c>
      <c r="AA6" s="28">
        <v>358</v>
      </c>
      <c r="AB6" s="28">
        <f>(1/Table4[[#This Row],[nm5]])*10^7</f>
        <v>27932.96089385475</v>
      </c>
      <c r="AC6" s="28">
        <v>378</v>
      </c>
      <c r="AD6" s="28">
        <f>(1/Table4[[#This Row],[nm8]])*10^7</f>
        <v>26455.026455026455</v>
      </c>
      <c r="AE6" s="28">
        <v>398</v>
      </c>
      <c r="AF6" s="28">
        <f>(1/Table4[[#This Row],[nm9]])*10^7</f>
        <v>25125.628140703517</v>
      </c>
      <c r="AG6" s="28" t="s">
        <v>721</v>
      </c>
      <c r="AH6" s="28">
        <v>355</v>
      </c>
      <c r="AI6" s="28">
        <f>(1/Table4[[#This Row],[nm4]])*10^7</f>
        <v>28169.014084507045</v>
      </c>
      <c r="AJ6" s="28"/>
      <c r="AK6" s="28" t="e">
        <f>(1/Table4[[#This Row],[nm14]])*10^7</f>
        <v>#DIV/0!</v>
      </c>
      <c r="AL6" s="28">
        <v>3</v>
      </c>
      <c r="AM6" s="28">
        <v>408</v>
      </c>
      <c r="AN6" s="28">
        <f>(1/Table4[[#This Row],[nm28]])*10^7</f>
        <v>24509.803921568626</v>
      </c>
      <c r="AO6" s="28">
        <v>430</v>
      </c>
      <c r="AP6" s="28">
        <f>(1/Table4[[#This Row],[nm10]])*10^7</f>
        <v>23255.81395348837</v>
      </c>
      <c r="AQ6" s="28">
        <v>462</v>
      </c>
      <c r="AR6" s="28">
        <f>(1/Table4[[#This Row],[nm11]])*10^7</f>
        <v>21645.021645021647</v>
      </c>
      <c r="AS6" s="28" t="s">
        <v>722</v>
      </c>
      <c r="AT6" s="28">
        <f>Table4[[#This Row],[Φ]]*100</f>
        <v>60</v>
      </c>
      <c r="AU6" s="28">
        <v>0.6</v>
      </c>
      <c r="AV6" s="28" t="s">
        <v>722</v>
      </c>
    </row>
    <row r="7" spans="1:48" x14ac:dyDescent="0.3">
      <c r="A7" s="27" t="s">
        <v>686</v>
      </c>
      <c r="B7" s="29" t="str">
        <f>VLOOKUP(Table4[[#This Row],[Marker name]],BaseInfos_Table[],3,FALSE)</f>
        <v>1306-38-3</v>
      </c>
      <c r="C7" s="27" t="str">
        <f>VLOOKUP(Table4[[#This Row],[Marker name]],BaseInfos_Table[#All],6,FALSE)</f>
        <v>UV-Vis, XRF, IR</v>
      </c>
      <c r="D7" s="41" t="s">
        <v>418</v>
      </c>
      <c r="F7" s="41">
        <v>3</v>
      </c>
      <c r="G7" s="41">
        <f>(1*10^7)/Table4[[#This Row],[cm-1]]</f>
        <v>20833.333333333332</v>
      </c>
      <c r="H7" s="41">
        <v>480</v>
      </c>
      <c r="I7" s="41">
        <f>(1*10^7)/Table4[[#This Row],[cm-2]]</f>
        <v>18348.623853211007</v>
      </c>
      <c r="J7" s="41">
        <v>545</v>
      </c>
      <c r="K7" s="41">
        <f>(1*10^7)/Table4[[#This Row],[cm-3]]</f>
        <v>15455.950540958269</v>
      </c>
      <c r="L7" s="41">
        <v>647</v>
      </c>
      <c r="M7" s="44" t="s">
        <v>419</v>
      </c>
      <c r="R7" s="41" t="e">
        <f>(1*10^7)/Table4[[#This Row],[nm2]]</f>
        <v>#DIV/0!</v>
      </c>
      <c r="T7" s="41" t="e">
        <f>(1*10^7)/Table4[[#This Row],[nm12]]</f>
        <v>#DIV/0!</v>
      </c>
      <c r="Z7" s="28">
        <v>1</v>
      </c>
      <c r="AA7" s="28">
        <v>349</v>
      </c>
      <c r="AB7" s="28">
        <f>(1/Table4[[#This Row],[nm5]])*10^7</f>
        <v>28653.295128939826</v>
      </c>
      <c r="AC7" s="28"/>
      <c r="AD7" s="28" t="e">
        <f>(1/Table4[[#This Row],[nm8]])*10^7</f>
        <v>#DIV/0!</v>
      </c>
      <c r="AE7" s="28"/>
      <c r="AF7" s="28" t="e">
        <f>(1/Table4[[#This Row],[nm9]])*10^7</f>
        <v>#DIV/0!</v>
      </c>
      <c r="AG7" s="28" t="s">
        <v>723</v>
      </c>
      <c r="AH7" s="28">
        <v>250</v>
      </c>
      <c r="AI7" s="28">
        <f>(1/Table4[[#This Row],[nm4]])*10^7</f>
        <v>40000</v>
      </c>
      <c r="AJ7" s="28">
        <v>380</v>
      </c>
      <c r="AK7" s="28">
        <f>(1/Table4[[#This Row],[nm14]])*10^7</f>
        <v>26315.78947368421</v>
      </c>
      <c r="AL7" s="28">
        <v>2</v>
      </c>
      <c r="AM7" s="28">
        <v>406</v>
      </c>
      <c r="AN7" s="28">
        <f>(1/Table4[[#This Row],[nm28]])*10^7</f>
        <v>24630.541871921181</v>
      </c>
      <c r="AO7" s="28">
        <v>488</v>
      </c>
      <c r="AP7" s="28">
        <f>(1/Table4[[#This Row],[nm10]])*10^7</f>
        <v>20491.803278688527</v>
      </c>
      <c r="AQ7" s="28"/>
      <c r="AR7" s="28" t="e">
        <f>(1/Table4[[#This Row],[nm11]])*10^7</f>
        <v>#DIV/0!</v>
      </c>
      <c r="AS7" s="28" t="s">
        <v>724</v>
      </c>
      <c r="AT7" s="28">
        <f>Table4[[#This Row],[Φ]]*100</f>
        <v>0</v>
      </c>
      <c r="AU7" s="28"/>
      <c r="AV7" s="28"/>
    </row>
    <row r="8" spans="1:48" x14ac:dyDescent="0.3">
      <c r="A8" s="27" t="s">
        <v>687</v>
      </c>
      <c r="B8" s="29" t="str">
        <f>VLOOKUP(Table4[[#This Row],[Marker name]],BaseInfos_Table[],3,FALSE)</f>
        <v>1314-36-9</v>
      </c>
      <c r="C8" s="27" t="str">
        <f>VLOOKUP(Table4[[#This Row],[Marker name]],BaseInfos_Table[#All],6,FALSE)</f>
        <v>UV-Vis, XRF, IR</v>
      </c>
      <c r="D8" s="41" t="s">
        <v>376</v>
      </c>
      <c r="F8" s="41">
        <v>1</v>
      </c>
      <c r="G8" s="41">
        <f>(1*10^7)/Table4[[#This Row],[cm-1]]</f>
        <v>21505.37634408602</v>
      </c>
      <c r="H8" s="41">
        <v>465</v>
      </c>
      <c r="I8" s="41" t="e">
        <f>(1*10^7)/Table4[[#This Row],[cm-2]]</f>
        <v>#DIV/0!</v>
      </c>
      <c r="K8" s="41" t="e">
        <f>(1*10^7)/Table4[[#This Row],[cm-3]]</f>
        <v>#DIV/0!</v>
      </c>
      <c r="M8" s="44" t="s">
        <v>377</v>
      </c>
      <c r="R8" s="41" t="e">
        <f>(1*10^7)/Table4[[#This Row],[nm2]]</f>
        <v>#DIV/0!</v>
      </c>
      <c r="T8" s="41" t="e">
        <f>(1*10^7)/Table4[[#This Row],[nm12]]</f>
        <v>#DIV/0!</v>
      </c>
      <c r="Z8" s="28"/>
      <c r="AA8" s="28"/>
      <c r="AB8" s="28" t="e">
        <f>(1/Table4[[#This Row],[nm5]])*10^7</f>
        <v>#DIV/0!</v>
      </c>
      <c r="AC8" s="28"/>
      <c r="AD8" s="28" t="e">
        <f>(1/Table4[[#This Row],[nm8]])*10^7</f>
        <v>#DIV/0!</v>
      </c>
      <c r="AE8" s="28"/>
      <c r="AF8" s="28" t="e">
        <f>(1/Table4[[#This Row],[nm9]])*10^7</f>
        <v>#DIV/0!</v>
      </c>
      <c r="AG8" s="28"/>
      <c r="AH8" s="28">
        <v>230</v>
      </c>
      <c r="AI8" s="28">
        <f>(1/Table4[[#This Row],[nm4]])*10^7</f>
        <v>43478.260869565216</v>
      </c>
      <c r="AJ8" s="28"/>
      <c r="AK8" s="28" t="e">
        <f>(1/Table4[[#This Row],[nm14]])*10^7</f>
        <v>#DIV/0!</v>
      </c>
      <c r="AL8" s="28">
        <v>1</v>
      </c>
      <c r="AM8" s="28">
        <v>360</v>
      </c>
      <c r="AN8" s="28">
        <f>(1/Table4[[#This Row],[nm28]])*10^7</f>
        <v>27777.777777777777</v>
      </c>
      <c r="AO8" s="28"/>
      <c r="AP8" s="28" t="e">
        <f>(1/Table4[[#This Row],[nm10]])*10^7</f>
        <v>#DIV/0!</v>
      </c>
      <c r="AQ8" s="28"/>
      <c r="AR8" s="28" t="e">
        <f>(1/Table4[[#This Row],[nm11]])*10^7</f>
        <v>#DIV/0!</v>
      </c>
      <c r="AS8" s="28" t="s">
        <v>725</v>
      </c>
      <c r="AT8" s="28">
        <f>Table4[[#This Row],[Φ]]*100</f>
        <v>0</v>
      </c>
      <c r="AU8" s="28"/>
      <c r="AV8" s="28"/>
    </row>
    <row r="9" spans="1:48" x14ac:dyDescent="0.3">
      <c r="A9" s="27" t="s">
        <v>688</v>
      </c>
      <c r="B9" s="29" t="str">
        <f>VLOOKUP(Table4[[#This Row],[Marker name]],BaseInfos_Table[],3,FALSE)</f>
        <v>1313-97-9</v>
      </c>
      <c r="C9" s="27" t="str">
        <f>VLOOKUP(Table4[[#This Row],[Marker name]],BaseInfos_Table[#All],6,FALSE)</f>
        <v>XRF</v>
      </c>
      <c r="D9" s="41" t="s">
        <v>378</v>
      </c>
      <c r="F9" s="41">
        <v>1</v>
      </c>
      <c r="G9" s="41">
        <f>(1*10^7)/Table4[[#This Row],[cm-1]]</f>
        <v>2773.9251040221916</v>
      </c>
      <c r="H9" s="41">
        <v>3605</v>
      </c>
      <c r="I9" s="41" t="e">
        <f>(1*10^7)/Table4[[#This Row],[cm-2]]</f>
        <v>#DIV/0!</v>
      </c>
      <c r="K9" s="41" t="e">
        <f>(1*10^7)/Table4[[#This Row],[cm-3]]</f>
        <v>#DIV/0!</v>
      </c>
      <c r="M9" s="44" t="s">
        <v>379</v>
      </c>
      <c r="R9" s="41" t="e">
        <f>(1*10^7)/Table4[[#This Row],[nm2]]</f>
        <v>#DIV/0!</v>
      </c>
      <c r="T9" s="41" t="e">
        <f>(1*10^7)/Table4[[#This Row],[nm12]]</f>
        <v>#DIV/0!</v>
      </c>
      <c r="Z9" s="28"/>
      <c r="AA9" s="28"/>
      <c r="AB9" s="28" t="e">
        <f>(1/Table4[[#This Row],[nm5]])*10^7</f>
        <v>#DIV/0!</v>
      </c>
      <c r="AC9" s="28"/>
      <c r="AD9" s="28" t="e">
        <f>(1/Table4[[#This Row],[nm8]])*10^7</f>
        <v>#DIV/0!</v>
      </c>
      <c r="AE9" s="28"/>
      <c r="AF9" s="28" t="e">
        <f>(1/Table4[[#This Row],[nm9]])*10^7</f>
        <v>#DIV/0!</v>
      </c>
      <c r="AG9" s="28"/>
      <c r="AH9" s="28"/>
      <c r="AI9" s="28" t="e">
        <f>(1/Table4[[#This Row],[nm4]])*10^7</f>
        <v>#DIV/0!</v>
      </c>
      <c r="AJ9" s="28"/>
      <c r="AK9" s="28" t="e">
        <f>(1/Table4[[#This Row],[nm14]])*10^7</f>
        <v>#DIV/0!</v>
      </c>
      <c r="AL9" s="28"/>
      <c r="AM9" s="28"/>
      <c r="AN9" s="28" t="e">
        <f>(1/Table4[[#This Row],[nm28]])*10^7</f>
        <v>#DIV/0!</v>
      </c>
      <c r="AO9" s="28"/>
      <c r="AP9" s="28" t="e">
        <f>(1/Table4[[#This Row],[nm10]])*10^7</f>
        <v>#DIV/0!</v>
      </c>
      <c r="AQ9" s="28"/>
      <c r="AR9" s="28" t="e">
        <f>(1/Table4[[#This Row],[nm11]])*10^7</f>
        <v>#DIV/0!</v>
      </c>
      <c r="AS9" s="28"/>
      <c r="AT9" s="28">
        <f>Table4[[#This Row],[Φ]]*100</f>
        <v>0</v>
      </c>
      <c r="AU9" s="28"/>
      <c r="AV9" s="28"/>
    </row>
    <row r="10" spans="1:48" x14ac:dyDescent="0.3">
      <c r="A10" s="27" t="s">
        <v>689</v>
      </c>
      <c r="B10" s="29" t="str">
        <f>VLOOKUP(Table4[[#This Row],[Marker name]],BaseInfos_Table[],3,FALSE)</f>
        <v>12064-62-9</v>
      </c>
      <c r="C10" s="27" t="str">
        <f>VLOOKUP(Table4[[#This Row],[Marker name]],BaseInfos_Table[#All],6,FALSE)</f>
        <v>XRF</v>
      </c>
      <c r="D10" s="41" t="s">
        <v>378</v>
      </c>
      <c r="F10" s="41">
        <v>3</v>
      </c>
      <c r="G10" s="41">
        <f>(1*10^7)/Table4[[#This Row],[cm-1]]</f>
        <v>22988.505747126437</v>
      </c>
      <c r="H10" s="41">
        <v>435</v>
      </c>
      <c r="I10" s="41">
        <f>(1*10^7)/Table4[[#This Row],[cm-2]]</f>
        <v>23980.815347721822</v>
      </c>
      <c r="J10" s="41">
        <v>417</v>
      </c>
      <c r="K10" s="41">
        <f>(1*10^7)/Table4[[#This Row],[cm-3]]</f>
        <v>24813.895781637719</v>
      </c>
      <c r="L10" s="41">
        <v>403</v>
      </c>
      <c r="M10" s="44" t="s">
        <v>380</v>
      </c>
      <c r="R10" s="41" t="e">
        <f>(1*10^7)/Table4[[#This Row],[nm2]]</f>
        <v>#DIV/0!</v>
      </c>
      <c r="T10" s="41" t="e">
        <f>(1*10^7)/Table4[[#This Row],[nm12]]</f>
        <v>#DIV/0!</v>
      </c>
      <c r="Z10" s="28"/>
      <c r="AA10" s="28"/>
      <c r="AB10" s="28" t="e">
        <f>(1/Table4[[#This Row],[nm5]])*10^7</f>
        <v>#DIV/0!</v>
      </c>
      <c r="AC10" s="28"/>
      <c r="AD10" s="28" t="e">
        <f>(1/Table4[[#This Row],[nm8]])*10^7</f>
        <v>#DIV/0!</v>
      </c>
      <c r="AE10" s="28"/>
      <c r="AF10" s="28" t="e">
        <f>(1/Table4[[#This Row],[nm9]])*10^7</f>
        <v>#DIV/0!</v>
      </c>
      <c r="AG10" s="28"/>
      <c r="AH10" s="28"/>
      <c r="AI10" s="28" t="e">
        <f>(1/Table4[[#This Row],[nm4]])*10^7</f>
        <v>#DIV/0!</v>
      </c>
      <c r="AJ10" s="28"/>
      <c r="AK10" s="28" t="e">
        <f>(1/Table4[[#This Row],[nm14]])*10^7</f>
        <v>#DIV/0!</v>
      </c>
      <c r="AL10" s="28"/>
      <c r="AM10" s="28"/>
      <c r="AN10" s="28" t="e">
        <f>(1/Table4[[#This Row],[nm28]])*10^7</f>
        <v>#DIV/0!</v>
      </c>
      <c r="AO10" s="28"/>
      <c r="AP10" s="28" t="e">
        <f>(1/Table4[[#This Row],[nm10]])*10^7</f>
        <v>#DIV/0!</v>
      </c>
      <c r="AQ10" s="28"/>
      <c r="AR10" s="28" t="e">
        <f>(1/Table4[[#This Row],[nm11]])*10^7</f>
        <v>#DIV/0!</v>
      </c>
      <c r="AS10" s="28"/>
      <c r="AT10" s="28">
        <f>Table4[[#This Row],[Φ]]*100</f>
        <v>0</v>
      </c>
      <c r="AU10" s="28"/>
      <c r="AV10" s="28"/>
    </row>
    <row r="11" spans="1:48" x14ac:dyDescent="0.3">
      <c r="A11" s="27" t="s">
        <v>690</v>
      </c>
      <c r="B11" s="29" t="str">
        <f>VLOOKUP(Table4[[#This Row],[Marker name]],BaseInfos_Table[],3,FALSE)</f>
        <v>1308-87-8</v>
      </c>
      <c r="C11" s="27" t="str">
        <f>VLOOKUP(Table4[[#This Row],[Marker name]],BaseInfos_Table[#All],6,FALSE)</f>
        <v>XRF</v>
      </c>
      <c r="D11" s="41" t="s">
        <v>378</v>
      </c>
      <c r="F11" s="41">
        <v>2</v>
      </c>
      <c r="G11" s="41">
        <f>(1*10^7)/Table4[[#This Row],[cm-1]]</f>
        <v>22075.055187637969</v>
      </c>
      <c r="H11" s="41">
        <v>453</v>
      </c>
      <c r="I11" s="41">
        <f>(1*10^7)/Table4[[#This Row],[cm-2]]</f>
        <v>24813.895781637719</v>
      </c>
      <c r="J11" s="41">
        <v>403</v>
      </c>
      <c r="K11" s="41" t="e">
        <f>(1*10^7)/Table4[[#This Row],[cm-3]]</f>
        <v>#DIV/0!</v>
      </c>
      <c r="M11" s="44" t="s">
        <v>381</v>
      </c>
      <c r="R11" s="41" t="e">
        <f>(1*10^7)/Table4[[#This Row],[nm2]]</f>
        <v>#DIV/0!</v>
      </c>
      <c r="T11" s="41" t="e">
        <f>(1*10^7)/Table4[[#This Row],[nm12]]</f>
        <v>#DIV/0!</v>
      </c>
      <c r="Z11" s="28"/>
      <c r="AA11" s="28"/>
      <c r="AB11" s="28" t="e">
        <f>(1/Table4[[#This Row],[nm5]])*10^7</f>
        <v>#DIV/0!</v>
      </c>
      <c r="AC11" s="28"/>
      <c r="AD11" s="28" t="e">
        <f>(1/Table4[[#This Row],[nm8]])*10^7</f>
        <v>#DIV/0!</v>
      </c>
      <c r="AE11" s="28"/>
      <c r="AF11" s="28" t="e">
        <f>(1/Table4[[#This Row],[nm9]])*10^7</f>
        <v>#DIV/0!</v>
      </c>
      <c r="AG11" s="28"/>
      <c r="AH11" s="28"/>
      <c r="AI11" s="28" t="e">
        <f>(1/Table4[[#This Row],[nm4]])*10^7</f>
        <v>#DIV/0!</v>
      </c>
      <c r="AJ11" s="28"/>
      <c r="AK11" s="28" t="e">
        <f>(1/Table4[[#This Row],[nm14]])*10^7</f>
        <v>#DIV/0!</v>
      </c>
      <c r="AL11" s="28"/>
      <c r="AM11" s="28"/>
      <c r="AN11" s="28" t="e">
        <f>(1/Table4[[#This Row],[nm28]])*10^7</f>
        <v>#DIV/0!</v>
      </c>
      <c r="AO11" s="28"/>
      <c r="AP11" s="28" t="e">
        <f>(1/Table4[[#This Row],[nm10]])*10^7</f>
        <v>#DIV/0!</v>
      </c>
      <c r="AQ11" s="28"/>
      <c r="AR11" s="28" t="e">
        <f>(1/Table4[[#This Row],[nm11]])*10^7</f>
        <v>#DIV/0!</v>
      </c>
      <c r="AS11" s="28"/>
      <c r="AT11" s="28">
        <f>Table4[[#This Row],[Φ]]*100</f>
        <v>0</v>
      </c>
      <c r="AU11" s="28"/>
      <c r="AV11" s="28"/>
    </row>
    <row r="12" spans="1:48" x14ac:dyDescent="0.3">
      <c r="A12" s="27" t="s">
        <v>11</v>
      </c>
      <c r="B12" s="29" t="str">
        <f>VLOOKUP(Table4[[#This Row],[Marker name]],BaseInfos_Table[],3,FALSE)</f>
        <v>989-38-8</v>
      </c>
      <c r="C12" s="27" t="str">
        <f>VLOOKUP(Table4[[#This Row],[Marker name]],BaseInfos_Table[#All],6,FALSE)</f>
        <v>UV-Vis</v>
      </c>
      <c r="D12" s="41" t="s">
        <v>344</v>
      </c>
      <c r="F12" s="41">
        <v>2</v>
      </c>
      <c r="G12" s="41">
        <f>(1*10^7)/Table4[[#This Row],[cm-1]]</f>
        <v>6535.9477124183004</v>
      </c>
      <c r="H12" s="41">
        <v>1530</v>
      </c>
      <c r="I12" s="41">
        <f>(1*10^7)/Table4[[#This Row],[cm-2]]</f>
        <v>6688.9632107023408</v>
      </c>
      <c r="J12" s="41">
        <v>1495</v>
      </c>
      <c r="K12" s="41" t="e">
        <f>(1*10^7)/Table4[[#This Row],[cm-3]]</f>
        <v>#DIV/0!</v>
      </c>
      <c r="M12" s="44" t="s">
        <v>369</v>
      </c>
      <c r="R12" s="41" t="e">
        <f>(1*10^7)/Table4[[#This Row],[nm2]]</f>
        <v>#DIV/0!</v>
      </c>
      <c r="T12" s="41" t="e">
        <f>(1*10^7)/Table4[[#This Row],[nm12]]</f>
        <v>#DIV/0!</v>
      </c>
      <c r="Z12" s="28"/>
      <c r="AA12" s="28"/>
      <c r="AB12" s="28" t="e">
        <f>(1/Table4[[#This Row],[nm5]])*10^7</f>
        <v>#DIV/0!</v>
      </c>
      <c r="AC12" s="28"/>
      <c r="AD12" s="28" t="e">
        <f>(1/Table4[[#This Row],[nm8]])*10^7</f>
        <v>#DIV/0!</v>
      </c>
      <c r="AE12" s="28"/>
      <c r="AF12" s="28" t="e">
        <f>(1/Table4[[#This Row],[nm9]])*10^7</f>
        <v>#DIV/0!</v>
      </c>
      <c r="AG12" s="28"/>
      <c r="AH12" s="28">
        <v>350</v>
      </c>
      <c r="AI12" s="28">
        <f>(1/Table4[[#This Row],[nm4]])*10^7</f>
        <v>28571.428571428572</v>
      </c>
      <c r="AJ12" s="28"/>
      <c r="AK12" s="28" t="e">
        <f>(1/Table4[[#This Row],[nm14]])*10^7</f>
        <v>#DIV/0!</v>
      </c>
      <c r="AL12" s="28">
        <v>2</v>
      </c>
      <c r="AM12" s="28">
        <v>567</v>
      </c>
      <c r="AN12" s="28">
        <f>(1/Table4[[#This Row],[nm28]])*10^7</f>
        <v>17636.684303350969</v>
      </c>
      <c r="AO12" s="28">
        <v>585</v>
      </c>
      <c r="AP12" s="28">
        <f>(1/Table4[[#This Row],[nm10]])*10^7</f>
        <v>17094.017094017094</v>
      </c>
      <c r="AQ12" s="28"/>
      <c r="AR12" s="28" t="e">
        <f>(1/Table4[[#This Row],[nm11]])*10^7</f>
        <v>#DIV/0!</v>
      </c>
      <c r="AS12" s="28" t="s">
        <v>726</v>
      </c>
      <c r="AT12" s="28">
        <f>Table4[[#This Row],[Φ]]*100</f>
        <v>0</v>
      </c>
      <c r="AU12" s="28"/>
      <c r="AV12" s="28"/>
    </row>
    <row r="13" spans="1:48" x14ac:dyDescent="0.3">
      <c r="A13" s="27" t="s">
        <v>12</v>
      </c>
      <c r="B13" s="29" t="str">
        <f>VLOOKUP(Table4[[#This Row],[Marker name]],BaseInfos_Table[],3,FALSE)</f>
        <v>n.a.</v>
      </c>
      <c r="C13" s="27" t="str">
        <f>VLOOKUP(Table4[[#This Row],[Marker name]],BaseInfos_Table[#All],6,FALSE)</f>
        <v>UV-Vis</v>
      </c>
      <c r="G13" s="41" t="e">
        <f>(1*10^7)/Table4[[#This Row],[cm-1]]</f>
        <v>#DIV/0!</v>
      </c>
      <c r="I13" s="41" t="e">
        <f>(1*10^7)/Table4[[#This Row],[cm-2]]</f>
        <v>#DIV/0!</v>
      </c>
      <c r="K13" s="41" t="e">
        <f>(1*10^7)/Table4[[#This Row],[cm-3]]</f>
        <v>#DIV/0!</v>
      </c>
      <c r="R13" s="41" t="e">
        <f>(1*10^7)/Table4[[#This Row],[nm2]]</f>
        <v>#DIV/0!</v>
      </c>
      <c r="T13" s="41" t="e">
        <f>(1*10^7)/Table4[[#This Row],[nm12]]</f>
        <v>#DIV/0!</v>
      </c>
      <c r="Z13" s="28"/>
      <c r="AA13" s="28"/>
      <c r="AB13" s="28" t="e">
        <f>(1/Table4[[#This Row],[nm5]])*10^7</f>
        <v>#DIV/0!</v>
      </c>
      <c r="AC13" s="28"/>
      <c r="AD13" s="28" t="e">
        <f>(1/Table4[[#This Row],[nm8]])*10^7</f>
        <v>#DIV/0!</v>
      </c>
      <c r="AE13" s="28"/>
      <c r="AF13" s="28" t="e">
        <f>(1/Table4[[#This Row],[nm9]])*10^7</f>
        <v>#DIV/0!</v>
      </c>
      <c r="AG13" s="28"/>
      <c r="AH13" s="28"/>
      <c r="AI13" s="28" t="e">
        <f>(1/Table4[[#This Row],[nm4]])*10^7</f>
        <v>#DIV/0!</v>
      </c>
      <c r="AJ13" s="28"/>
      <c r="AK13" s="28" t="e">
        <f>(1/Table4[[#This Row],[nm14]])*10^7</f>
        <v>#DIV/0!</v>
      </c>
      <c r="AL13" s="28"/>
      <c r="AM13" s="28"/>
      <c r="AN13" s="28" t="e">
        <f>(1/Table4[[#This Row],[nm28]])*10^7</f>
        <v>#DIV/0!</v>
      </c>
      <c r="AO13" s="28"/>
      <c r="AP13" s="28" t="e">
        <f>(1/Table4[[#This Row],[nm10]])*10^7</f>
        <v>#DIV/0!</v>
      </c>
      <c r="AQ13" s="28"/>
      <c r="AR13" s="28" t="e">
        <f>(1/Table4[[#This Row],[nm11]])*10^7</f>
        <v>#DIV/0!</v>
      </c>
      <c r="AS13" s="28"/>
      <c r="AT13" s="28">
        <f>Table4[[#This Row],[Φ]]*100</f>
        <v>0</v>
      </c>
      <c r="AU13" s="28"/>
      <c r="AV13" s="28"/>
    </row>
    <row r="14" spans="1:48" x14ac:dyDescent="0.3">
      <c r="A14" s="27" t="s">
        <v>19</v>
      </c>
      <c r="B14" s="29" t="str">
        <f>VLOOKUP(Table4[[#This Row],[Marker name]],BaseInfos_Table[],3,FALSE)</f>
        <v>n.a.</v>
      </c>
      <c r="C14" s="27" t="str">
        <f>VLOOKUP(Table4[[#This Row],[Marker name]],BaseInfos_Table[#All],6,FALSE)</f>
        <v>IR</v>
      </c>
      <c r="G14" s="41" t="e">
        <f>(1*10^7)/Table4[[#This Row],[cm-1]]</f>
        <v>#DIV/0!</v>
      </c>
      <c r="I14" s="41" t="e">
        <f>(1*10^7)/Table4[[#This Row],[cm-2]]</f>
        <v>#DIV/0!</v>
      </c>
      <c r="K14" s="41" t="e">
        <f>(1*10^7)/Table4[[#This Row],[cm-3]]</f>
        <v>#DIV/0!</v>
      </c>
      <c r="R14" s="41" t="e">
        <f>(1*10^7)/Table4[[#This Row],[nm2]]</f>
        <v>#DIV/0!</v>
      </c>
      <c r="T14" s="41" t="e">
        <f>(1*10^7)/Table4[[#This Row],[nm12]]</f>
        <v>#DIV/0!</v>
      </c>
      <c r="Z14" s="28"/>
      <c r="AA14" s="28"/>
      <c r="AB14" s="28" t="e">
        <f>(1/Table4[[#This Row],[nm5]])*10^7</f>
        <v>#DIV/0!</v>
      </c>
      <c r="AC14" s="28"/>
      <c r="AD14" s="28" t="e">
        <f>(1/Table4[[#This Row],[nm8]])*10^7</f>
        <v>#DIV/0!</v>
      </c>
      <c r="AE14" s="28"/>
      <c r="AF14" s="28" t="e">
        <f>(1/Table4[[#This Row],[nm9]])*10^7</f>
        <v>#DIV/0!</v>
      </c>
      <c r="AG14" s="28"/>
      <c r="AH14" s="28"/>
      <c r="AI14" s="28" t="e">
        <f>(1/Table4[[#This Row],[nm4]])*10^7</f>
        <v>#DIV/0!</v>
      </c>
      <c r="AJ14" s="28"/>
      <c r="AK14" s="28" t="e">
        <f>(1/Table4[[#This Row],[nm14]])*10^7</f>
        <v>#DIV/0!</v>
      </c>
      <c r="AL14" s="28"/>
      <c r="AM14" s="28"/>
      <c r="AN14" s="28" t="e">
        <f>(1/Table4[[#This Row],[nm28]])*10^7</f>
        <v>#DIV/0!</v>
      </c>
      <c r="AO14" s="28"/>
      <c r="AP14" s="28" t="e">
        <f>(1/Table4[[#This Row],[nm10]])*10^7</f>
        <v>#DIV/0!</v>
      </c>
      <c r="AQ14" s="28"/>
      <c r="AR14" s="28" t="e">
        <f>(1/Table4[[#This Row],[nm11]])*10^7</f>
        <v>#DIV/0!</v>
      </c>
      <c r="AS14" s="28"/>
      <c r="AT14" s="28">
        <f>Table4[[#This Row],[Φ]]*100</f>
        <v>0</v>
      </c>
      <c r="AU14" s="28"/>
      <c r="AV14" s="28"/>
    </row>
    <row r="15" spans="1:48" x14ac:dyDescent="0.3">
      <c r="A15" s="27" t="s">
        <v>21</v>
      </c>
      <c r="B15" s="29" t="str">
        <f>VLOOKUP(Table4[[#This Row],[Marker name]],BaseInfos_Table[],3,FALSE)</f>
        <v>n.a.</v>
      </c>
      <c r="C15" s="27" t="str">
        <f>VLOOKUP(Table4[[#This Row],[Marker name]],BaseInfos_Table[#All],6,FALSE)</f>
        <v>IR</v>
      </c>
      <c r="G15" s="41" t="e">
        <f>(1*10^7)/Table4[[#This Row],[cm-1]]</f>
        <v>#DIV/0!</v>
      </c>
      <c r="I15" s="41" t="e">
        <f>(1*10^7)/Table4[[#This Row],[cm-2]]</f>
        <v>#DIV/0!</v>
      </c>
      <c r="K15" s="41" t="e">
        <f>(1*10^7)/Table4[[#This Row],[cm-3]]</f>
        <v>#DIV/0!</v>
      </c>
      <c r="R15" s="41" t="e">
        <f>(1*10^7)/Table4[[#This Row],[nm2]]</f>
        <v>#DIV/0!</v>
      </c>
      <c r="T15" s="41" t="e">
        <f>(1*10^7)/Table4[[#This Row],[nm12]]</f>
        <v>#DIV/0!</v>
      </c>
      <c r="Z15" s="28"/>
      <c r="AA15" s="28"/>
      <c r="AB15" s="28" t="e">
        <f>(1/Table4[[#This Row],[nm5]])*10^7</f>
        <v>#DIV/0!</v>
      </c>
      <c r="AC15" s="28"/>
      <c r="AD15" s="28" t="e">
        <f>(1/Table4[[#This Row],[nm8]])*10^7</f>
        <v>#DIV/0!</v>
      </c>
      <c r="AE15" s="28"/>
      <c r="AF15" s="28" t="e">
        <f>(1/Table4[[#This Row],[nm9]])*10^7</f>
        <v>#DIV/0!</v>
      </c>
      <c r="AG15" s="28"/>
      <c r="AH15" s="28"/>
      <c r="AI15" s="28" t="e">
        <f>(1/Table4[[#This Row],[nm4]])*10^7</f>
        <v>#DIV/0!</v>
      </c>
      <c r="AJ15" s="28"/>
      <c r="AK15" s="28" t="e">
        <f>(1/Table4[[#This Row],[nm14]])*10^7</f>
        <v>#DIV/0!</v>
      </c>
      <c r="AL15" s="28"/>
      <c r="AM15" s="28"/>
      <c r="AN15" s="28" t="e">
        <f>(1/Table4[[#This Row],[nm28]])*10^7</f>
        <v>#DIV/0!</v>
      </c>
      <c r="AO15" s="28"/>
      <c r="AP15" s="28" t="e">
        <f>(1/Table4[[#This Row],[nm10]])*10^7</f>
        <v>#DIV/0!</v>
      </c>
      <c r="AQ15" s="28"/>
      <c r="AR15" s="28" t="e">
        <f>(1/Table4[[#This Row],[nm11]])*10^7</f>
        <v>#DIV/0!</v>
      </c>
      <c r="AS15" s="28"/>
      <c r="AT15" s="28">
        <f>Table4[[#This Row],[Φ]]*100</f>
        <v>0</v>
      </c>
      <c r="AU15" s="28"/>
      <c r="AV15" s="28"/>
    </row>
    <row r="16" spans="1:48" x14ac:dyDescent="0.3">
      <c r="A16" s="27" t="s">
        <v>20</v>
      </c>
      <c r="B16" s="29" t="str">
        <f>VLOOKUP(Table4[[#This Row],[Marker name]],BaseInfos_Table[],3,FALSE)</f>
        <v>n.a.</v>
      </c>
      <c r="C16" s="27" t="str">
        <f>VLOOKUP(Table4[[#This Row],[Marker name]],BaseInfos_Table[#All],6,FALSE)</f>
        <v>IR</v>
      </c>
      <c r="G16" s="41" t="e">
        <f>(1*10^7)/Table4[[#This Row],[cm-1]]</f>
        <v>#DIV/0!</v>
      </c>
      <c r="I16" s="41" t="e">
        <f>(1*10^7)/Table4[[#This Row],[cm-2]]</f>
        <v>#DIV/0!</v>
      </c>
      <c r="K16" s="41" t="e">
        <f>(1*10^7)/Table4[[#This Row],[cm-3]]</f>
        <v>#DIV/0!</v>
      </c>
      <c r="R16" s="41" t="e">
        <f>(1*10^7)/Table4[[#This Row],[nm2]]</f>
        <v>#DIV/0!</v>
      </c>
      <c r="T16" s="41" t="e">
        <f>(1*10^7)/Table4[[#This Row],[nm12]]</f>
        <v>#DIV/0!</v>
      </c>
      <c r="Z16" s="28"/>
      <c r="AA16" s="28"/>
      <c r="AB16" s="28" t="e">
        <f>(1/Table4[[#This Row],[nm5]])*10^7</f>
        <v>#DIV/0!</v>
      </c>
      <c r="AC16" s="28"/>
      <c r="AD16" s="28" t="e">
        <f>(1/Table4[[#This Row],[nm8]])*10^7</f>
        <v>#DIV/0!</v>
      </c>
      <c r="AE16" s="28"/>
      <c r="AF16" s="28" t="e">
        <f>(1/Table4[[#This Row],[nm9]])*10^7</f>
        <v>#DIV/0!</v>
      </c>
      <c r="AG16" s="28"/>
      <c r="AH16" s="28"/>
      <c r="AI16" s="28" t="e">
        <f>(1/Table4[[#This Row],[nm4]])*10^7</f>
        <v>#DIV/0!</v>
      </c>
      <c r="AJ16" s="28"/>
      <c r="AK16" s="28" t="e">
        <f>(1/Table4[[#This Row],[nm14]])*10^7</f>
        <v>#DIV/0!</v>
      </c>
      <c r="AL16" s="28"/>
      <c r="AM16" s="28"/>
      <c r="AN16" s="28" t="e">
        <f>(1/Table4[[#This Row],[nm28]])*10^7</f>
        <v>#DIV/0!</v>
      </c>
      <c r="AO16" s="28"/>
      <c r="AP16" s="28" t="e">
        <f>(1/Table4[[#This Row],[nm10]])*10^7</f>
        <v>#DIV/0!</v>
      </c>
      <c r="AQ16" s="28"/>
      <c r="AR16" s="28" t="e">
        <f>(1/Table4[[#This Row],[nm11]])*10^7</f>
        <v>#DIV/0!</v>
      </c>
      <c r="AS16" s="28"/>
      <c r="AT16" s="28">
        <f>Table4[[#This Row],[Φ]]*100</f>
        <v>0</v>
      </c>
      <c r="AU16" s="28"/>
      <c r="AV16" s="28"/>
    </row>
    <row r="17" spans="1:48" x14ac:dyDescent="0.3">
      <c r="A17" s="27" t="s">
        <v>49</v>
      </c>
      <c r="B17" s="29" t="str">
        <f>VLOOKUP(Table4[[#This Row],[Marker name]],BaseInfos_Table[],3,FALSE)</f>
        <v>n.a.</v>
      </c>
      <c r="C17" s="27" t="str">
        <f>VLOOKUP(Table4[[#This Row],[Marker name]],BaseInfos_Table[#All],6,FALSE)</f>
        <v>IR</v>
      </c>
      <c r="G17" s="41" t="e">
        <f>(1*10^7)/Table4[[#This Row],[cm-1]]</f>
        <v>#DIV/0!</v>
      </c>
      <c r="I17" s="41" t="e">
        <f>(1*10^7)/Table4[[#This Row],[cm-2]]</f>
        <v>#DIV/0!</v>
      </c>
      <c r="K17" s="41" t="e">
        <f>(1*10^7)/Table4[[#This Row],[cm-3]]</f>
        <v>#DIV/0!</v>
      </c>
      <c r="R17" s="41" t="e">
        <f>(1*10^7)/Table4[[#This Row],[nm2]]</f>
        <v>#DIV/0!</v>
      </c>
      <c r="T17" s="41" t="e">
        <f>(1*10^7)/Table4[[#This Row],[nm12]]</f>
        <v>#DIV/0!</v>
      </c>
      <c r="Z17" s="28"/>
      <c r="AA17" s="28"/>
      <c r="AB17" s="28" t="e">
        <f>(1/Table4[[#This Row],[nm5]])*10^7</f>
        <v>#DIV/0!</v>
      </c>
      <c r="AC17" s="28"/>
      <c r="AD17" s="28" t="e">
        <f>(1/Table4[[#This Row],[nm8]])*10^7</f>
        <v>#DIV/0!</v>
      </c>
      <c r="AE17" s="28"/>
      <c r="AF17" s="28" t="e">
        <f>(1/Table4[[#This Row],[nm9]])*10^7</f>
        <v>#DIV/0!</v>
      </c>
      <c r="AG17" s="28"/>
      <c r="AH17" s="28"/>
      <c r="AI17" s="28" t="e">
        <f>(1/Table4[[#This Row],[nm4]])*10^7</f>
        <v>#DIV/0!</v>
      </c>
      <c r="AJ17" s="28"/>
      <c r="AK17" s="28" t="e">
        <f>(1/Table4[[#This Row],[nm14]])*10^7</f>
        <v>#DIV/0!</v>
      </c>
      <c r="AL17" s="28"/>
      <c r="AM17" s="28"/>
      <c r="AN17" s="28" t="e">
        <f>(1/Table4[[#This Row],[nm28]])*10^7</f>
        <v>#DIV/0!</v>
      </c>
      <c r="AO17" s="28"/>
      <c r="AP17" s="28" t="e">
        <f>(1/Table4[[#This Row],[nm10]])*10^7</f>
        <v>#DIV/0!</v>
      </c>
      <c r="AQ17" s="28"/>
      <c r="AR17" s="28" t="e">
        <f>(1/Table4[[#This Row],[nm11]])*10^7</f>
        <v>#DIV/0!</v>
      </c>
      <c r="AS17" s="28"/>
      <c r="AT17" s="28">
        <f>Table4[[#This Row],[Φ]]*100</f>
        <v>0</v>
      </c>
      <c r="AU17" s="28"/>
      <c r="AV17" s="28"/>
    </row>
    <row r="18" spans="1:48" x14ac:dyDescent="0.3">
      <c r="A18" s="27" t="s">
        <v>56</v>
      </c>
      <c r="B18" s="29" t="str">
        <f>VLOOKUP(Table4[[#This Row],[Marker name]],BaseInfos_Table[],3,FALSE)</f>
        <v>1047-16-1</v>
      </c>
      <c r="C18" s="29" t="str">
        <f>VLOOKUP(Table4[[#This Row],[Marker name]],BaseInfos_Table[#All],6,FALSE)</f>
        <v>UV-Vis</v>
      </c>
      <c r="D18" s="42" t="s">
        <v>344</v>
      </c>
      <c r="E18" s="42"/>
      <c r="F18" s="42">
        <v>3</v>
      </c>
      <c r="G18" s="42">
        <f>(1*10^7)/Table4[[#This Row],[cm-1]]</f>
        <v>6134.9693251533745</v>
      </c>
      <c r="H18" s="42">
        <v>1630</v>
      </c>
      <c r="I18" s="42">
        <f>(1*10^7)/Table4[[#This Row],[cm-2]]</f>
        <v>6250</v>
      </c>
      <c r="J18" s="42">
        <v>1600</v>
      </c>
      <c r="K18" s="42">
        <f>(1*10^7)/Table4[[#This Row],[cm-3]]</f>
        <v>6451.6129032258068</v>
      </c>
      <c r="L18" s="42">
        <v>1550</v>
      </c>
      <c r="M18" s="43" t="s">
        <v>370</v>
      </c>
      <c r="R18" s="41" t="e">
        <f>(1*10^7)/Table4[[#This Row],[nm2]]</f>
        <v>#DIV/0!</v>
      </c>
      <c r="T18" s="41" t="e">
        <f>(1*10^7)/Table4[[#This Row],[nm12]]</f>
        <v>#DIV/0!</v>
      </c>
      <c r="Z18" s="28"/>
      <c r="AA18" s="28"/>
      <c r="AB18" s="28" t="e">
        <f>(1/Table4[[#This Row],[nm5]])*10^7</f>
        <v>#DIV/0!</v>
      </c>
      <c r="AC18" s="28"/>
      <c r="AD18" s="28" t="e">
        <f>(1/Table4[[#This Row],[nm8]])*10^7</f>
        <v>#DIV/0!</v>
      </c>
      <c r="AE18" s="28"/>
      <c r="AF18" s="28" t="e">
        <f>(1/Table4[[#This Row],[nm9]])*10^7</f>
        <v>#DIV/0!</v>
      </c>
      <c r="AG18" s="28"/>
      <c r="AH18" s="28"/>
      <c r="AI18" s="28" t="e">
        <f>(1/Table4[[#This Row],[nm4]])*10^7</f>
        <v>#DIV/0!</v>
      </c>
      <c r="AJ18" s="28"/>
      <c r="AK18" s="28" t="e">
        <f>(1/Table4[[#This Row],[nm14]])*10^7</f>
        <v>#DIV/0!</v>
      </c>
      <c r="AL18" s="28"/>
      <c r="AM18" s="28"/>
      <c r="AN18" s="28" t="e">
        <f>(1/Table4[[#This Row],[nm28]])*10^7</f>
        <v>#DIV/0!</v>
      </c>
      <c r="AO18" s="28"/>
      <c r="AP18" s="28" t="e">
        <f>(1/Table4[[#This Row],[nm10]])*10^7</f>
        <v>#DIV/0!</v>
      </c>
      <c r="AQ18" s="28"/>
      <c r="AR18" s="28" t="e">
        <f>(1/Table4[[#This Row],[nm11]])*10^7</f>
        <v>#DIV/0!</v>
      </c>
      <c r="AS18" s="28"/>
      <c r="AT18" s="28">
        <f>Table4[[#This Row],[Φ]]*100</f>
        <v>0</v>
      </c>
      <c r="AU18" s="28"/>
      <c r="AV18" s="28"/>
    </row>
    <row r="19" spans="1:48" x14ac:dyDescent="0.3">
      <c r="A19" s="27" t="s">
        <v>54</v>
      </c>
      <c r="B19" s="29" t="str">
        <f>VLOOKUP(Table4[[#This Row],[Marker name]],BaseInfos_Table[],3,FALSE)</f>
        <v>128-69-8</v>
      </c>
      <c r="C19" s="29" t="str">
        <f>VLOOKUP(Table4[[#This Row],[Marker name]],BaseInfos_Table[#All],6,FALSE)</f>
        <v>IR</v>
      </c>
      <c r="D19" s="42" t="s">
        <v>344</v>
      </c>
      <c r="E19" s="42"/>
      <c r="F19" s="42">
        <v>4</v>
      </c>
      <c r="G19" s="42">
        <f>(1*10^7)/Table4[[#This Row],[cm-1]]</f>
        <v>5617.9775280898875</v>
      </c>
      <c r="H19" s="42">
        <v>1780</v>
      </c>
      <c r="I19" s="42">
        <f>(1*10^7)/Table4[[#This Row],[cm-2]]</f>
        <v>5698.0056980056979</v>
      </c>
      <c r="J19" s="42">
        <v>1755</v>
      </c>
      <c r="K19" s="42">
        <f>(1*10^7)/Table4[[#This Row],[cm-3]]</f>
        <v>5730.6590257879652</v>
      </c>
      <c r="L19" s="42">
        <v>1745</v>
      </c>
      <c r="M19" s="43" t="s">
        <v>371</v>
      </c>
      <c r="R19" s="41" t="e">
        <f>(1*10^7)/Table4[[#This Row],[nm2]]</f>
        <v>#DIV/0!</v>
      </c>
      <c r="T19" s="41" t="e">
        <f>(1*10^7)/Table4[[#This Row],[nm12]]</f>
        <v>#DIV/0!</v>
      </c>
      <c r="Z19" s="28"/>
      <c r="AA19" s="28"/>
      <c r="AB19" s="28" t="e">
        <f>(1/Table4[[#This Row],[nm5]])*10^7</f>
        <v>#DIV/0!</v>
      </c>
      <c r="AC19" s="28"/>
      <c r="AD19" s="28" t="e">
        <f>(1/Table4[[#This Row],[nm8]])*10^7</f>
        <v>#DIV/0!</v>
      </c>
      <c r="AE19" s="28"/>
      <c r="AF19" s="28" t="e">
        <f>(1/Table4[[#This Row],[nm9]])*10^7</f>
        <v>#DIV/0!</v>
      </c>
      <c r="AG19" s="28"/>
      <c r="AH19" s="28"/>
      <c r="AI19" s="28" t="e">
        <f>(1/Table4[[#This Row],[nm4]])*10^7</f>
        <v>#DIV/0!</v>
      </c>
      <c r="AJ19" s="28"/>
      <c r="AK19" s="28" t="e">
        <f>(1/Table4[[#This Row],[nm14]])*10^7</f>
        <v>#DIV/0!</v>
      </c>
      <c r="AL19" s="28"/>
      <c r="AM19" s="28"/>
      <c r="AN19" s="28" t="e">
        <f>(1/Table4[[#This Row],[nm28]])*10^7</f>
        <v>#DIV/0!</v>
      </c>
      <c r="AO19" s="28"/>
      <c r="AP19" s="28" t="e">
        <f>(1/Table4[[#This Row],[nm10]])*10^7</f>
        <v>#DIV/0!</v>
      </c>
      <c r="AQ19" s="28"/>
      <c r="AR19" s="28" t="e">
        <f>(1/Table4[[#This Row],[nm11]])*10^7</f>
        <v>#DIV/0!</v>
      </c>
      <c r="AS19" s="28"/>
      <c r="AT19" s="28">
        <f>Table4[[#This Row],[Φ]]*100</f>
        <v>0</v>
      </c>
      <c r="AU19" s="28"/>
      <c r="AV19" s="28"/>
    </row>
    <row r="20" spans="1:48" x14ac:dyDescent="0.3">
      <c r="A20" s="27" t="s">
        <v>373</v>
      </c>
      <c r="B20" s="29" t="str">
        <f>VLOOKUP(Table4[[#This Row],[Marker name]],BaseInfos_Table[],3,FALSE)</f>
        <v xml:space="preserve">3326-32-7 </v>
      </c>
      <c r="C20" s="27" t="str">
        <f>VLOOKUP(Table4[[#This Row],[Marker name]],BaseInfos_Table[#All],6,FALSE)</f>
        <v>IR</v>
      </c>
      <c r="D20" s="41" t="s">
        <v>344</v>
      </c>
      <c r="F20" s="41">
        <v>3</v>
      </c>
      <c r="G20" s="41">
        <f>(1*10^7)/Table4[[#This Row],[cm-1]]</f>
        <v>3384.0947546531302</v>
      </c>
      <c r="H20" s="41">
        <v>2955</v>
      </c>
      <c r="I20" s="41">
        <f>(1*10^7)/Table4[[#This Row],[cm-2]]</f>
        <v>3418.8034188034189</v>
      </c>
      <c r="J20" s="41">
        <v>2925</v>
      </c>
      <c r="K20" s="41">
        <f>(1*10^7)/Table4[[#This Row],[cm-3]]</f>
        <v>3502.6269702276709</v>
      </c>
      <c r="L20" s="41">
        <v>2855</v>
      </c>
      <c r="M20" s="44" t="s">
        <v>372</v>
      </c>
      <c r="R20" s="41" t="e">
        <f>(1*10^7)/Table4[[#This Row],[nm2]]</f>
        <v>#DIV/0!</v>
      </c>
      <c r="T20" s="41" t="e">
        <f>(1*10^7)/Table4[[#This Row],[nm12]]</f>
        <v>#DIV/0!</v>
      </c>
      <c r="Z20" s="28"/>
      <c r="AA20" s="28"/>
      <c r="AB20" s="28" t="e">
        <f>(1/Table4[[#This Row],[nm5]])*10^7</f>
        <v>#DIV/0!</v>
      </c>
      <c r="AC20" s="28"/>
      <c r="AD20" s="28" t="e">
        <f>(1/Table4[[#This Row],[nm8]])*10^7</f>
        <v>#DIV/0!</v>
      </c>
      <c r="AE20" s="28"/>
      <c r="AF20" s="28" t="e">
        <f>(1/Table4[[#This Row],[nm9]])*10^7</f>
        <v>#DIV/0!</v>
      </c>
      <c r="AG20" s="28"/>
      <c r="AH20" s="28">
        <v>492</v>
      </c>
      <c r="AI20" s="28">
        <f>(1/Table4[[#This Row],[nm4]])*10^7</f>
        <v>20325.203252032523</v>
      </c>
      <c r="AJ20" s="28"/>
      <c r="AK20" s="28" t="e">
        <f>(1/Table4[[#This Row],[nm14]])*10^7</f>
        <v>#DIV/0!</v>
      </c>
      <c r="AL20" s="28">
        <v>1</v>
      </c>
      <c r="AM20" s="28">
        <v>520</v>
      </c>
      <c r="AN20" s="28">
        <f>(1/Table4[[#This Row],[nm28]])*10^7</f>
        <v>19230.76923076923</v>
      </c>
      <c r="AO20" s="28"/>
      <c r="AP20" s="28" t="e">
        <f>(1/Table4[[#This Row],[nm10]])*10^7</f>
        <v>#DIV/0!</v>
      </c>
      <c r="AQ20" s="28"/>
      <c r="AR20" s="28" t="e">
        <f>(1/Table4[[#This Row],[nm11]])*10^7</f>
        <v>#DIV/0!</v>
      </c>
      <c r="AS20" s="28" t="s">
        <v>374</v>
      </c>
      <c r="AT20" s="28">
        <f>Table4[[#This Row],[Φ]]*100</f>
        <v>0</v>
      </c>
      <c r="AU20" s="28"/>
      <c r="AV20" s="28"/>
    </row>
    <row r="21" spans="1:48" x14ac:dyDescent="0.3">
      <c r="A21" s="27" t="s">
        <v>234</v>
      </c>
      <c r="B21" s="29" t="str">
        <f>VLOOKUP(Table4[[#This Row],[Marker name]],BaseInfos_Table[],3,FALSE)</f>
        <v>3599-32-4</v>
      </c>
      <c r="C21" s="27" t="str">
        <f>VLOOKUP(Table4[[#This Row],[Marker name]],BaseInfos_Table[#All],6,FALSE)</f>
        <v>IR</v>
      </c>
      <c r="D21" s="41" t="s">
        <v>385</v>
      </c>
      <c r="F21" s="41">
        <v>5</v>
      </c>
      <c r="G21" s="41">
        <f>(1*10^7)/Table4[[#This Row],[cm-1]]</f>
        <v>7092.1985815602839</v>
      </c>
      <c r="H21" s="41">
        <v>1410</v>
      </c>
      <c r="I21" s="41">
        <f>(1*10^7)/Table4[[#This Row],[cm-2]]</f>
        <v>3407.1550255536627</v>
      </c>
      <c r="J21" s="41">
        <v>2935</v>
      </c>
      <c r="K21" s="41">
        <f>(1*10^7)/Table4[[#This Row],[cm-3]]</f>
        <v>3496.5034965034965</v>
      </c>
      <c r="L21" s="41">
        <v>2860</v>
      </c>
      <c r="M21" s="44" t="s">
        <v>382</v>
      </c>
      <c r="R21" s="41" t="e">
        <f>(1*10^7)/Table4[[#This Row],[nm2]]</f>
        <v>#DIV/0!</v>
      </c>
      <c r="T21" s="41" t="e">
        <f>(1*10^7)/Table4[[#This Row],[nm12]]</f>
        <v>#DIV/0!</v>
      </c>
      <c r="Z21" s="28"/>
      <c r="AA21" s="28"/>
      <c r="AB21" s="28" t="e">
        <f>(1/Table4[[#This Row],[nm5]])*10^7</f>
        <v>#DIV/0!</v>
      </c>
      <c r="AC21" s="28"/>
      <c r="AD21" s="28" t="e">
        <f>(1/Table4[[#This Row],[nm8]])*10^7</f>
        <v>#DIV/0!</v>
      </c>
      <c r="AE21" s="28"/>
      <c r="AF21" s="28" t="e">
        <f>(1/Table4[[#This Row],[nm9]])*10^7</f>
        <v>#DIV/0!</v>
      </c>
      <c r="AG21" s="28"/>
      <c r="AH21" s="28"/>
      <c r="AI21" s="28" t="e">
        <f>(1/Table4[[#This Row],[nm4]])*10^7</f>
        <v>#DIV/0!</v>
      </c>
      <c r="AJ21" s="28"/>
      <c r="AK21" s="28" t="e">
        <f>(1/Table4[[#This Row],[nm14]])*10^7</f>
        <v>#DIV/0!</v>
      </c>
      <c r="AL21" s="28"/>
      <c r="AM21" s="28"/>
      <c r="AN21" s="28" t="e">
        <f>(1/Table4[[#This Row],[nm28]])*10^7</f>
        <v>#DIV/0!</v>
      </c>
      <c r="AO21" s="28"/>
      <c r="AP21" s="28" t="e">
        <f>(1/Table4[[#This Row],[nm10]])*10^7</f>
        <v>#DIV/0!</v>
      </c>
      <c r="AQ21" s="28"/>
      <c r="AR21" s="28" t="e">
        <f>(1/Table4[[#This Row],[nm11]])*10^7</f>
        <v>#DIV/0!</v>
      </c>
      <c r="AS21" s="28"/>
      <c r="AT21" s="28">
        <f>Table4[[#This Row],[Φ]]*100</f>
        <v>0</v>
      </c>
      <c r="AU21" s="28"/>
      <c r="AV21" s="28"/>
    </row>
    <row r="22" spans="1:48" x14ac:dyDescent="0.3">
      <c r="A22" s="27" t="s">
        <v>235</v>
      </c>
      <c r="B22" s="29" t="str">
        <f>VLOOKUP(Table4[[#This Row],[Marker name]],BaseInfos_Table[],3,FALSE)</f>
        <v>61-73-4</v>
      </c>
      <c r="C22" s="27" t="str">
        <f>VLOOKUP(Table4[[#This Row],[Marker name]],BaseInfos_Table[#All],6,FALSE)</f>
        <v>IR</v>
      </c>
      <c r="D22" s="41" t="s">
        <v>386</v>
      </c>
      <c r="F22" s="41">
        <v>1</v>
      </c>
      <c r="G22" s="41">
        <f>(1*10^7)/Table4[[#This Row],[cm-1]]</f>
        <v>6250</v>
      </c>
      <c r="H22" s="41">
        <v>1600</v>
      </c>
      <c r="I22" s="41" t="e">
        <f>(1*10^7)/Table4[[#This Row],[cm-2]]</f>
        <v>#DIV/0!</v>
      </c>
      <c r="K22" s="41" t="e">
        <f>(1*10^7)/Table4[[#This Row],[cm-3]]</f>
        <v>#DIV/0!</v>
      </c>
      <c r="M22" s="44" t="s">
        <v>384</v>
      </c>
      <c r="R22" s="41" t="e">
        <f>(1*10^7)/Table4[[#This Row],[nm2]]</f>
        <v>#DIV/0!</v>
      </c>
      <c r="T22" s="41" t="e">
        <f>(1*10^7)/Table4[[#This Row],[nm12]]</f>
        <v>#DIV/0!</v>
      </c>
      <c r="Z22" s="28"/>
      <c r="AA22" s="28"/>
      <c r="AB22" s="28" t="e">
        <f>(1/Table4[[#This Row],[nm5]])*10^7</f>
        <v>#DIV/0!</v>
      </c>
      <c r="AC22" s="28"/>
      <c r="AD22" s="28" t="e">
        <f>(1/Table4[[#This Row],[nm8]])*10^7</f>
        <v>#DIV/0!</v>
      </c>
      <c r="AE22" s="28"/>
      <c r="AF22" s="28" t="e">
        <f>(1/Table4[[#This Row],[nm9]])*10^7</f>
        <v>#DIV/0!</v>
      </c>
      <c r="AG22" s="28"/>
      <c r="AH22" s="28"/>
      <c r="AI22" s="28" t="e">
        <f>(1/Table4[[#This Row],[nm4]])*10^7</f>
        <v>#DIV/0!</v>
      </c>
      <c r="AJ22" s="28"/>
      <c r="AK22" s="28" t="e">
        <f>(1/Table4[[#This Row],[nm14]])*10^7</f>
        <v>#DIV/0!</v>
      </c>
      <c r="AL22" s="28"/>
      <c r="AM22" s="28"/>
      <c r="AN22" s="28" t="e">
        <f>(1/Table4[[#This Row],[nm28]])*10^7</f>
        <v>#DIV/0!</v>
      </c>
      <c r="AO22" s="28"/>
      <c r="AP22" s="28" t="e">
        <f>(1/Table4[[#This Row],[nm10]])*10^7</f>
        <v>#DIV/0!</v>
      </c>
      <c r="AQ22" s="28"/>
      <c r="AR22" s="28" t="e">
        <f>(1/Table4[[#This Row],[nm11]])*10^7</f>
        <v>#DIV/0!</v>
      </c>
      <c r="AS22" s="28"/>
      <c r="AT22" s="28">
        <f>Table4[[#This Row],[Φ]]*100</f>
        <v>0</v>
      </c>
      <c r="AU22" s="28"/>
      <c r="AV22" s="28"/>
    </row>
    <row r="23" spans="1:48" x14ac:dyDescent="0.3">
      <c r="A23" s="27" t="s">
        <v>250</v>
      </c>
      <c r="B23" s="29" t="str">
        <f>VLOOKUP(Table4[[#This Row],[Marker name]],BaseInfos_Table[],3,FALSE)</f>
        <v>308068-56-6</v>
      </c>
      <c r="C23" s="27" t="str">
        <f>VLOOKUP(Table4[[#This Row],[Marker name]],BaseInfos_Table[#All],6,FALSE)</f>
        <v>IR</v>
      </c>
      <c r="D23" s="41" t="s">
        <v>387</v>
      </c>
      <c r="F23" s="41">
        <v>1</v>
      </c>
      <c r="G23" s="41">
        <f>(1*10^7)/Table4[[#This Row],[cm-1]]</f>
        <v>3316.7495854063018</v>
      </c>
      <c r="H23" s="41">
        <v>3015</v>
      </c>
      <c r="I23" s="41" t="e">
        <f>(1*10^7)/Table4[[#This Row],[cm-2]]</f>
        <v>#DIV/0!</v>
      </c>
      <c r="K23" s="41" t="e">
        <f>(1*10^7)/Table4[[#This Row],[cm-3]]</f>
        <v>#DIV/0!</v>
      </c>
      <c r="M23" s="44" t="s">
        <v>388</v>
      </c>
      <c r="R23" s="41" t="e">
        <f>(1*10^7)/Table4[[#This Row],[nm2]]</f>
        <v>#DIV/0!</v>
      </c>
      <c r="T23" s="41" t="e">
        <f>(1*10^7)/Table4[[#This Row],[nm12]]</f>
        <v>#DIV/0!</v>
      </c>
      <c r="Z23" s="28"/>
      <c r="AA23" s="28"/>
      <c r="AB23" s="28" t="e">
        <f>(1/Table4[[#This Row],[nm5]])*10^7</f>
        <v>#DIV/0!</v>
      </c>
      <c r="AC23" s="28"/>
      <c r="AD23" s="28" t="e">
        <f>(1/Table4[[#This Row],[nm8]])*10^7</f>
        <v>#DIV/0!</v>
      </c>
      <c r="AE23" s="28"/>
      <c r="AF23" s="28" t="e">
        <f>(1/Table4[[#This Row],[nm9]])*10^7</f>
        <v>#DIV/0!</v>
      </c>
      <c r="AG23" s="28"/>
      <c r="AH23" s="28"/>
      <c r="AI23" s="28" t="e">
        <f>(1/Table4[[#This Row],[nm4]])*10^7</f>
        <v>#DIV/0!</v>
      </c>
      <c r="AJ23" s="28"/>
      <c r="AK23" s="28" t="e">
        <f>(1/Table4[[#This Row],[nm14]])*10^7</f>
        <v>#DIV/0!</v>
      </c>
      <c r="AL23" s="28"/>
      <c r="AM23" s="28"/>
      <c r="AN23" s="28" t="e">
        <f>(1/Table4[[#This Row],[nm28]])*10^7</f>
        <v>#DIV/0!</v>
      </c>
      <c r="AO23" s="28"/>
      <c r="AP23" s="28" t="e">
        <f>(1/Table4[[#This Row],[nm10]])*10^7</f>
        <v>#DIV/0!</v>
      </c>
      <c r="AQ23" s="28"/>
      <c r="AR23" s="28" t="e">
        <f>(1/Table4[[#This Row],[nm11]])*10^7</f>
        <v>#DIV/0!</v>
      </c>
      <c r="AS23" s="28"/>
      <c r="AT23" s="28">
        <f>Table4[[#This Row],[Φ]]*100</f>
        <v>0</v>
      </c>
      <c r="AU23" s="28"/>
      <c r="AV23" s="28"/>
    </row>
    <row r="24" spans="1:48" x14ac:dyDescent="0.3">
      <c r="A24" s="27" t="s">
        <v>260</v>
      </c>
      <c r="B24" s="29" t="str">
        <f>VLOOKUP(Table4[[#This Row],[Marker name]],BaseInfos_Table[],3,FALSE)</f>
        <v>199444-11-6</v>
      </c>
      <c r="C24" s="27" t="str">
        <f>VLOOKUP(Table4[[#This Row],[Marker name]],BaseInfos_Table[#All],6,FALSE)</f>
        <v>IR</v>
      </c>
      <c r="G24" s="41" t="e">
        <f>(1*10^7)/Table4[[#This Row],[cm-1]]</f>
        <v>#DIV/0!</v>
      </c>
      <c r="I24" s="41" t="e">
        <f>(1*10^7)/Table4[[#This Row],[cm-2]]</f>
        <v>#DIV/0!</v>
      </c>
      <c r="K24" s="41" t="e">
        <f>(1*10^7)/Table4[[#This Row],[cm-3]]</f>
        <v>#DIV/0!</v>
      </c>
      <c r="R24" s="41" t="e">
        <f>(1*10^7)/Table4[[#This Row],[nm2]]</f>
        <v>#DIV/0!</v>
      </c>
      <c r="T24" s="41" t="e">
        <f>(1*10^7)/Table4[[#This Row],[nm12]]</f>
        <v>#DIV/0!</v>
      </c>
      <c r="Z24" s="28"/>
      <c r="AA24" s="28"/>
      <c r="AB24" s="28" t="e">
        <f>(1/Table4[[#This Row],[nm5]])*10^7</f>
        <v>#DIV/0!</v>
      </c>
      <c r="AC24" s="28"/>
      <c r="AD24" s="28" t="e">
        <f>(1/Table4[[#This Row],[nm8]])*10^7</f>
        <v>#DIV/0!</v>
      </c>
      <c r="AE24" s="28"/>
      <c r="AF24" s="28" t="e">
        <f>(1/Table4[[#This Row],[nm9]])*10^7</f>
        <v>#DIV/0!</v>
      </c>
      <c r="AG24" s="28"/>
      <c r="AH24" s="28"/>
      <c r="AI24" s="28" t="e">
        <f>(1/Table4[[#This Row],[nm4]])*10^7</f>
        <v>#DIV/0!</v>
      </c>
      <c r="AJ24" s="28"/>
      <c r="AK24" s="28" t="e">
        <f>(1/Table4[[#This Row],[nm14]])*10^7</f>
        <v>#DIV/0!</v>
      </c>
      <c r="AL24" s="28"/>
      <c r="AM24" s="28"/>
      <c r="AN24" s="28" t="e">
        <f>(1/Table4[[#This Row],[nm28]])*10^7</f>
        <v>#DIV/0!</v>
      </c>
      <c r="AO24" s="28"/>
      <c r="AP24" s="28" t="e">
        <f>(1/Table4[[#This Row],[nm10]])*10^7</f>
        <v>#DIV/0!</v>
      </c>
      <c r="AQ24" s="28"/>
      <c r="AR24" s="28" t="e">
        <f>(1/Table4[[#This Row],[nm11]])*10^7</f>
        <v>#DIV/0!</v>
      </c>
      <c r="AS24" s="28"/>
      <c r="AT24" s="28">
        <f>Table4[[#This Row],[Φ]]*100</f>
        <v>0</v>
      </c>
      <c r="AU24" s="28"/>
      <c r="AV24" s="28"/>
    </row>
    <row r="25" spans="1:48" x14ac:dyDescent="0.3">
      <c r="A25" s="27" t="s">
        <v>264</v>
      </c>
      <c r="B25" s="29" t="str">
        <f>VLOOKUP(Table4[[#This Row],[Marker name]],BaseInfos_Table[],3,FALSE)</f>
        <v>207399-07-3</v>
      </c>
      <c r="C25" s="27" t="str">
        <f>VLOOKUP(Table4[[#This Row],[Marker name]],BaseInfos_Table[#All],6,FALSE)</f>
        <v>IR</v>
      </c>
      <c r="D25" s="41" t="s">
        <v>344</v>
      </c>
      <c r="F25" s="41">
        <v>3</v>
      </c>
      <c r="G25" s="41">
        <f>(1*10^7)/Table4[[#This Row],[cm-1]]</f>
        <v>3378.3783783783783</v>
      </c>
      <c r="H25" s="41">
        <v>2960</v>
      </c>
      <c r="I25" s="41">
        <f>(1*10^7)/Table4[[#This Row],[cm-2]]</f>
        <v>3418.8034188034189</v>
      </c>
      <c r="J25" s="41">
        <v>2925</v>
      </c>
      <c r="K25" s="41">
        <f>(1*10^7)/Table4[[#This Row],[cm-3]]</f>
        <v>3502.6269702276709</v>
      </c>
      <c r="L25" s="41">
        <v>2855</v>
      </c>
      <c r="M25" s="44" t="s">
        <v>389</v>
      </c>
      <c r="R25" s="41" t="e">
        <f>(1*10^7)/Table4[[#This Row],[nm2]]</f>
        <v>#DIV/0!</v>
      </c>
      <c r="T25" s="41" t="e">
        <f>(1*10^7)/Table4[[#This Row],[nm12]]</f>
        <v>#DIV/0!</v>
      </c>
      <c r="Z25" s="28"/>
      <c r="AA25" s="28"/>
      <c r="AB25" s="28" t="e">
        <f>(1/Table4[[#This Row],[nm5]])*10^7</f>
        <v>#DIV/0!</v>
      </c>
      <c r="AC25" s="28"/>
      <c r="AD25" s="28" t="e">
        <f>(1/Table4[[#This Row],[nm8]])*10^7</f>
        <v>#DIV/0!</v>
      </c>
      <c r="AE25" s="28"/>
      <c r="AF25" s="28" t="e">
        <f>(1/Table4[[#This Row],[nm9]])*10^7</f>
        <v>#DIV/0!</v>
      </c>
      <c r="AG25" s="28"/>
      <c r="AH25" s="28"/>
      <c r="AI25" s="28" t="e">
        <f>(1/Table4[[#This Row],[nm4]])*10^7</f>
        <v>#DIV/0!</v>
      </c>
      <c r="AJ25" s="28"/>
      <c r="AK25" s="28" t="e">
        <f>(1/Table4[[#This Row],[nm14]])*10^7</f>
        <v>#DIV/0!</v>
      </c>
      <c r="AL25" s="28"/>
      <c r="AM25" s="28"/>
      <c r="AN25" s="28" t="e">
        <f>(1/Table4[[#This Row],[nm28]])*10^7</f>
        <v>#DIV/0!</v>
      </c>
      <c r="AO25" s="28"/>
      <c r="AP25" s="28" t="e">
        <f>(1/Table4[[#This Row],[nm10]])*10^7</f>
        <v>#DIV/0!</v>
      </c>
      <c r="AQ25" s="28"/>
      <c r="AR25" s="28" t="e">
        <f>(1/Table4[[#This Row],[nm11]])*10^7</f>
        <v>#DIV/0!</v>
      </c>
      <c r="AS25" s="28"/>
      <c r="AT25" s="28">
        <f>Table4[[#This Row],[Φ]]*100</f>
        <v>0</v>
      </c>
      <c r="AU25" s="28"/>
      <c r="AV25" s="28"/>
    </row>
    <row r="26" spans="1:48" x14ac:dyDescent="0.3">
      <c r="A26" s="27" t="s">
        <v>267</v>
      </c>
      <c r="B26" s="29" t="str">
        <f>VLOOKUP(Table4[[#This Row],[Marker name]],BaseInfos_Table[],3,FALSE)</f>
        <v>115970-66-6</v>
      </c>
      <c r="C26" s="27" t="str">
        <f>VLOOKUP(Table4[[#This Row],[Marker name]],BaseInfos_Table[#All],6,FALSE)</f>
        <v>IR</v>
      </c>
      <c r="D26" s="41" t="s">
        <v>344</v>
      </c>
      <c r="F26" s="41">
        <v>7</v>
      </c>
      <c r="G26" s="41">
        <f>(1*10^7)/Table4[[#This Row],[cm-1]]</f>
        <v>3418.8034188034189</v>
      </c>
      <c r="H26" s="41">
        <v>2925</v>
      </c>
      <c r="I26" s="41">
        <f>(1*10^7)/Table4[[#This Row],[cm-2]]</f>
        <v>8733.6244541484721</v>
      </c>
      <c r="J26" s="41">
        <v>1145</v>
      </c>
      <c r="K26" s="41">
        <f>(1*10^7)/Table4[[#This Row],[cm-3]]</f>
        <v>9009.0090090090089</v>
      </c>
      <c r="L26" s="41">
        <v>1110</v>
      </c>
      <c r="M26" s="44" t="s">
        <v>390</v>
      </c>
      <c r="R26" s="41" t="e">
        <f>(1*10^7)/Table4[[#This Row],[nm2]]</f>
        <v>#DIV/0!</v>
      </c>
      <c r="T26" s="41" t="e">
        <f>(1*10^7)/Table4[[#This Row],[nm12]]</f>
        <v>#DIV/0!</v>
      </c>
      <c r="Z26" s="28"/>
      <c r="AA26" s="28"/>
      <c r="AB26" s="28" t="e">
        <f>(1/Table4[[#This Row],[nm5]])*10^7</f>
        <v>#DIV/0!</v>
      </c>
      <c r="AC26" s="28"/>
      <c r="AD26" s="28" t="e">
        <f>(1/Table4[[#This Row],[nm8]])*10^7</f>
        <v>#DIV/0!</v>
      </c>
      <c r="AE26" s="28"/>
      <c r="AF26" s="28" t="e">
        <f>(1/Table4[[#This Row],[nm9]])*10^7</f>
        <v>#DIV/0!</v>
      </c>
      <c r="AG26" s="28"/>
      <c r="AH26" s="28"/>
      <c r="AI26" s="28" t="e">
        <f>(1/Table4[[#This Row],[nm4]])*10^7</f>
        <v>#DIV/0!</v>
      </c>
      <c r="AJ26" s="28"/>
      <c r="AK26" s="28" t="e">
        <f>(1/Table4[[#This Row],[nm14]])*10^7</f>
        <v>#DIV/0!</v>
      </c>
      <c r="AL26" s="28"/>
      <c r="AM26" s="28"/>
      <c r="AN26" s="28" t="e">
        <f>(1/Table4[[#This Row],[nm28]])*10^7</f>
        <v>#DIV/0!</v>
      </c>
      <c r="AO26" s="28"/>
      <c r="AP26" s="28" t="e">
        <f>(1/Table4[[#This Row],[nm10]])*10^7</f>
        <v>#DIV/0!</v>
      </c>
      <c r="AQ26" s="28"/>
      <c r="AR26" s="28" t="e">
        <f>(1/Table4[[#This Row],[nm11]])*10^7</f>
        <v>#DIV/0!</v>
      </c>
      <c r="AS26" s="28"/>
      <c r="AT26" s="28">
        <f>Table4[[#This Row],[Φ]]*100</f>
        <v>0</v>
      </c>
      <c r="AU26" s="28"/>
      <c r="AV26" s="28"/>
    </row>
    <row r="27" spans="1:48" x14ac:dyDescent="0.3">
      <c r="A27" s="27" t="s">
        <v>269</v>
      </c>
      <c r="B27" s="29" t="str">
        <f>VLOOKUP(Table4[[#This Row],[Marker name]],BaseInfos_Table[],3,FALSE)</f>
        <v>110992-55-7</v>
      </c>
      <c r="C27" s="27" t="str">
        <f>VLOOKUP(Table4[[#This Row],[Marker name]],BaseInfos_Table[#All],6,FALSE)</f>
        <v>IR</v>
      </c>
      <c r="D27" s="41" t="s">
        <v>391</v>
      </c>
      <c r="F27" s="41">
        <v>3</v>
      </c>
      <c r="G27" s="41">
        <f>(1*10^7)/Table4[[#This Row],[cm-1]]</f>
        <v>3384.0947546531302</v>
      </c>
      <c r="H27" s="41">
        <v>2955</v>
      </c>
      <c r="I27" s="41">
        <f>(1*10^7)/Table4[[#This Row],[cm-2]]</f>
        <v>3418.8034188034189</v>
      </c>
      <c r="J27" s="41">
        <v>2925</v>
      </c>
      <c r="K27" s="41">
        <f>(1*10^7)/Table4[[#This Row],[cm-3]]</f>
        <v>3502.6269702276709</v>
      </c>
      <c r="L27" s="41">
        <v>2855</v>
      </c>
      <c r="M27" s="44" t="s">
        <v>392</v>
      </c>
      <c r="R27" s="41" t="e">
        <f>(1*10^7)/Table4[[#This Row],[nm2]]</f>
        <v>#DIV/0!</v>
      </c>
      <c r="T27" s="41" t="e">
        <f>(1*10^7)/Table4[[#This Row],[nm12]]</f>
        <v>#DIV/0!</v>
      </c>
      <c r="Z27" s="28"/>
      <c r="AA27" s="28"/>
      <c r="AB27" s="28" t="e">
        <f>(1/Table4[[#This Row],[nm5]])*10^7</f>
        <v>#DIV/0!</v>
      </c>
      <c r="AC27" s="28"/>
      <c r="AD27" s="28" t="e">
        <f>(1/Table4[[#This Row],[nm8]])*10^7</f>
        <v>#DIV/0!</v>
      </c>
      <c r="AE27" s="28"/>
      <c r="AF27" s="28" t="e">
        <f>(1/Table4[[#This Row],[nm9]])*10^7</f>
        <v>#DIV/0!</v>
      </c>
      <c r="AG27" s="28"/>
      <c r="AH27" s="28"/>
      <c r="AI27" s="28" t="e">
        <f>(1/Table4[[#This Row],[nm4]])*10^7</f>
        <v>#DIV/0!</v>
      </c>
      <c r="AJ27" s="28"/>
      <c r="AK27" s="28" t="e">
        <f>(1/Table4[[#This Row],[nm14]])*10^7</f>
        <v>#DIV/0!</v>
      </c>
      <c r="AL27" s="28"/>
      <c r="AM27" s="28"/>
      <c r="AN27" s="28" t="e">
        <f>(1/Table4[[#This Row],[nm28]])*10^7</f>
        <v>#DIV/0!</v>
      </c>
      <c r="AO27" s="28"/>
      <c r="AP27" s="28" t="e">
        <f>(1/Table4[[#This Row],[nm10]])*10^7</f>
        <v>#DIV/0!</v>
      </c>
      <c r="AQ27" s="28"/>
      <c r="AR27" s="28" t="e">
        <f>(1/Table4[[#This Row],[nm11]])*10^7</f>
        <v>#DIV/0!</v>
      </c>
      <c r="AS27" s="28"/>
      <c r="AT27" s="28">
        <f>Table4[[#This Row],[Φ]]*100</f>
        <v>0</v>
      </c>
      <c r="AU27" s="28"/>
      <c r="AV27" s="28"/>
    </row>
    <row r="28" spans="1:48" x14ac:dyDescent="0.3">
      <c r="A28" s="27" t="s">
        <v>272</v>
      </c>
      <c r="B28" s="29" t="str">
        <f>VLOOKUP(Table4[[#This Row],[Marker name]],BaseInfos_Table[],3,FALSE)</f>
        <v>757960-10-4</v>
      </c>
      <c r="C28" s="27" t="str">
        <f>VLOOKUP(Table4[[#This Row],[Marker name]],BaseInfos_Table[#All],6,FALSE)</f>
        <v>IR</v>
      </c>
      <c r="G28" s="41" t="e">
        <f>(1*10^7)/Table4[[#This Row],[cm-1]]</f>
        <v>#DIV/0!</v>
      </c>
      <c r="I28" s="41" t="e">
        <f>(1*10^7)/Table4[[#This Row],[cm-2]]</f>
        <v>#DIV/0!</v>
      </c>
      <c r="K28" s="41" t="e">
        <f>(1*10^7)/Table4[[#This Row],[cm-3]]</f>
        <v>#DIV/0!</v>
      </c>
      <c r="R28" s="41" t="e">
        <f>(1*10^7)/Table4[[#This Row],[nm2]]</f>
        <v>#DIV/0!</v>
      </c>
      <c r="T28" s="41" t="e">
        <f>(1*10^7)/Table4[[#This Row],[nm12]]</f>
        <v>#DIV/0!</v>
      </c>
      <c r="Z28" s="28"/>
      <c r="AA28" s="28"/>
      <c r="AB28" s="28" t="e">
        <f>(1/Table4[[#This Row],[nm5]])*10^7</f>
        <v>#DIV/0!</v>
      </c>
      <c r="AC28" s="28"/>
      <c r="AD28" s="28" t="e">
        <f>(1/Table4[[#This Row],[nm8]])*10^7</f>
        <v>#DIV/0!</v>
      </c>
      <c r="AE28" s="28"/>
      <c r="AF28" s="28" t="e">
        <f>(1/Table4[[#This Row],[nm9]])*10^7</f>
        <v>#DIV/0!</v>
      </c>
      <c r="AG28" s="28"/>
      <c r="AH28" s="28"/>
      <c r="AI28" s="28" t="e">
        <f>(1/Table4[[#This Row],[nm4]])*10^7</f>
        <v>#DIV/0!</v>
      </c>
      <c r="AJ28" s="28"/>
      <c r="AK28" s="28" t="e">
        <f>(1/Table4[[#This Row],[nm14]])*10^7</f>
        <v>#DIV/0!</v>
      </c>
      <c r="AL28" s="28"/>
      <c r="AM28" s="28"/>
      <c r="AN28" s="28" t="e">
        <f>(1/Table4[[#This Row],[nm28]])*10^7</f>
        <v>#DIV/0!</v>
      </c>
      <c r="AO28" s="28"/>
      <c r="AP28" s="28" t="e">
        <f>(1/Table4[[#This Row],[nm10]])*10^7</f>
        <v>#DIV/0!</v>
      </c>
      <c r="AQ28" s="28"/>
      <c r="AR28" s="28" t="e">
        <f>(1/Table4[[#This Row],[nm11]])*10^7</f>
        <v>#DIV/0!</v>
      </c>
      <c r="AS28" s="28"/>
      <c r="AT28" s="28">
        <f>Table4[[#This Row],[Φ]]*100</f>
        <v>0</v>
      </c>
      <c r="AU28" s="28"/>
      <c r="AV28" s="28"/>
    </row>
    <row r="29" spans="1:48" x14ac:dyDescent="0.3">
      <c r="A29" s="27" t="s">
        <v>280</v>
      </c>
      <c r="B29" s="29" t="str">
        <f>VLOOKUP(Table4[[#This Row],[Marker name]],BaseInfos_Table[],3,FALSE)</f>
        <v>1306-25-8</v>
      </c>
      <c r="C29" s="27" t="str">
        <f>VLOOKUP(Table4[[#This Row],[Marker name]],BaseInfos_Table[#All],6,FALSE)</f>
        <v>IR</v>
      </c>
      <c r="G29" s="41" t="e">
        <f>(1*10^7)/Table4[[#This Row],[cm-1]]</f>
        <v>#DIV/0!</v>
      </c>
      <c r="I29" s="41" t="e">
        <f>(1*10^7)/Table4[[#This Row],[cm-2]]</f>
        <v>#DIV/0!</v>
      </c>
      <c r="K29" s="41" t="e">
        <f>(1*10^7)/Table4[[#This Row],[cm-3]]</f>
        <v>#DIV/0!</v>
      </c>
      <c r="Q29" s="41">
        <v>670</v>
      </c>
      <c r="R29" s="41">
        <f>(1*10^7)/Table4[[#This Row],[nm2]]</f>
        <v>14925.373134328358</v>
      </c>
      <c r="S29" s="41">
        <v>800</v>
      </c>
      <c r="T29" s="41">
        <f>(1*10^7)/Table4[[#This Row],[nm12]]</f>
        <v>12500</v>
      </c>
      <c r="X29" s="41">
        <v>20</v>
      </c>
      <c r="Z29" s="28"/>
      <c r="AA29" s="28"/>
      <c r="AB29" s="28" t="e">
        <f>(1/Table4[[#This Row],[nm5]])*10^7</f>
        <v>#DIV/0!</v>
      </c>
      <c r="AC29" s="28"/>
      <c r="AD29" s="28" t="e">
        <f>(1/Table4[[#This Row],[nm8]])*10^7</f>
        <v>#DIV/0!</v>
      </c>
      <c r="AE29" s="28"/>
      <c r="AF29" s="28" t="e">
        <f>(1/Table4[[#This Row],[nm9]])*10^7</f>
        <v>#DIV/0!</v>
      </c>
      <c r="AG29" s="28"/>
      <c r="AH29" s="28"/>
      <c r="AI29" s="28" t="e">
        <f>(1/Table4[[#This Row],[nm4]])*10^7</f>
        <v>#DIV/0!</v>
      </c>
      <c r="AJ29" s="28"/>
      <c r="AK29" s="28" t="e">
        <f>(1/Table4[[#This Row],[nm14]])*10^7</f>
        <v>#DIV/0!</v>
      </c>
      <c r="AL29" s="28"/>
      <c r="AM29" s="28"/>
      <c r="AN29" s="28" t="e">
        <f>(1/Table4[[#This Row],[nm28]])*10^7</f>
        <v>#DIV/0!</v>
      </c>
      <c r="AO29" s="28"/>
      <c r="AP29" s="28" t="e">
        <f>(1/Table4[[#This Row],[nm10]])*10^7</f>
        <v>#DIV/0!</v>
      </c>
      <c r="AQ29" s="28"/>
      <c r="AR29" s="28" t="e">
        <f>(1/Table4[[#This Row],[nm11]])*10^7</f>
        <v>#DIV/0!</v>
      </c>
      <c r="AS29" s="28"/>
      <c r="AT29" s="28">
        <f>Table4[[#This Row],[Φ]]*100</f>
        <v>0</v>
      </c>
      <c r="AU29" s="28"/>
      <c r="AV29" s="28"/>
    </row>
    <row r="30" spans="1:48" x14ac:dyDescent="0.3">
      <c r="A30" s="27" t="s">
        <v>281</v>
      </c>
      <c r="B30" s="29" t="str">
        <f>VLOOKUP(Table4[[#This Row],[Marker name]],BaseInfos_Table[],3,FALSE)</f>
        <v>1314-87-0</v>
      </c>
      <c r="C30" s="27" t="str">
        <f>VLOOKUP(Table4[[#This Row],[Marker name]],BaseInfos_Table[#All],6,FALSE)</f>
        <v>IR</v>
      </c>
      <c r="D30" s="41" t="s">
        <v>378</v>
      </c>
      <c r="F30" s="41">
        <v>1</v>
      </c>
      <c r="G30" s="41">
        <f>(1*10^7)/Table4[[#This Row],[cm-1]]</f>
        <v>9615.3846153846152</v>
      </c>
      <c r="H30" s="41">
        <v>1040</v>
      </c>
      <c r="I30" s="41" t="e">
        <f>(1*10^7)/Table4[[#This Row],[cm-2]]</f>
        <v>#DIV/0!</v>
      </c>
      <c r="K30" s="41" t="e">
        <f>(1*10^7)/Table4[[#This Row],[cm-3]]</f>
        <v>#DIV/0!</v>
      </c>
      <c r="M30" s="44" t="s">
        <v>394</v>
      </c>
      <c r="Q30" s="41">
        <v>900</v>
      </c>
      <c r="R30" s="41">
        <f>(1*10^7)/Table4[[#This Row],[nm2]]</f>
        <v>11111.111111111111</v>
      </c>
      <c r="S30" s="41">
        <v>1600</v>
      </c>
      <c r="T30" s="41">
        <f>(1*10^7)/Table4[[#This Row],[nm12]]</f>
        <v>6250</v>
      </c>
      <c r="X30" s="41">
        <v>10</v>
      </c>
      <c r="Z30" s="28"/>
      <c r="AA30" s="28"/>
      <c r="AB30" s="28" t="e">
        <f>(1/Table4[[#This Row],[nm5]])*10^7</f>
        <v>#DIV/0!</v>
      </c>
      <c r="AC30" s="28"/>
      <c r="AD30" s="28" t="e">
        <f>(1/Table4[[#This Row],[nm8]])*10^7</f>
        <v>#DIV/0!</v>
      </c>
      <c r="AE30" s="28"/>
      <c r="AF30" s="28" t="e">
        <f>(1/Table4[[#This Row],[nm9]])*10^7</f>
        <v>#DIV/0!</v>
      </c>
      <c r="AG30" s="28"/>
      <c r="AH30" s="28"/>
      <c r="AI30" s="28" t="e">
        <f>(1/Table4[[#This Row],[nm4]])*10^7</f>
        <v>#DIV/0!</v>
      </c>
      <c r="AJ30" s="28"/>
      <c r="AK30" s="28" t="e">
        <f>(1/Table4[[#This Row],[nm14]])*10^7</f>
        <v>#DIV/0!</v>
      </c>
      <c r="AL30" s="28"/>
      <c r="AM30" s="28"/>
      <c r="AN30" s="28" t="e">
        <f>(1/Table4[[#This Row],[nm28]])*10^7</f>
        <v>#DIV/0!</v>
      </c>
      <c r="AO30" s="28"/>
      <c r="AP30" s="28" t="e">
        <f>(1/Table4[[#This Row],[nm10]])*10^7</f>
        <v>#DIV/0!</v>
      </c>
      <c r="AQ30" s="28"/>
      <c r="AR30" s="28" t="e">
        <f>(1/Table4[[#This Row],[nm11]])*10^7</f>
        <v>#DIV/0!</v>
      </c>
      <c r="AS30" s="28"/>
      <c r="AT30" s="28">
        <f>Table4[[#This Row],[Φ]]*100</f>
        <v>0</v>
      </c>
      <c r="AU30" s="28"/>
      <c r="AV30" s="28"/>
    </row>
    <row r="31" spans="1:48" x14ac:dyDescent="0.3">
      <c r="A31" s="27" t="s">
        <v>691</v>
      </c>
      <c r="B31" s="29" t="str">
        <f>VLOOKUP(Table4[[#This Row],[Marker name]],BaseInfos_Table[],3,FALSE)</f>
        <v>1312-81-8</v>
      </c>
      <c r="C31" s="27" t="str">
        <f>VLOOKUP(Table4[[#This Row],[Marker name]],BaseInfos_Table[#All],6,FALSE)</f>
        <v>XRF</v>
      </c>
      <c r="D31" s="41" t="s">
        <v>378</v>
      </c>
      <c r="F31" s="41">
        <v>1</v>
      </c>
      <c r="G31" s="41">
        <f>(1*10^7)/Table4[[#This Row],[cm-1]]</f>
        <v>16000</v>
      </c>
      <c r="H31" s="41">
        <v>625</v>
      </c>
      <c r="I31" s="41" t="e">
        <f>(1*10^7)/Table4[[#This Row],[cm-2]]</f>
        <v>#DIV/0!</v>
      </c>
      <c r="K31" s="41" t="e">
        <f>(1*10^7)/Table4[[#This Row],[cm-3]]</f>
        <v>#DIV/0!</v>
      </c>
      <c r="M31" s="44" t="s">
        <v>393</v>
      </c>
      <c r="R31" s="41" t="e">
        <f>(1*10^7)/Table4[[#This Row],[nm2]]</f>
        <v>#DIV/0!</v>
      </c>
      <c r="T31" s="41" t="e">
        <f>(1*10^7)/Table4[[#This Row],[nm12]]</f>
        <v>#DIV/0!</v>
      </c>
      <c r="Z31" s="28"/>
      <c r="AA31" s="28"/>
      <c r="AB31" s="28" t="e">
        <f>(1/Table4[[#This Row],[nm5]])*10^7</f>
        <v>#DIV/0!</v>
      </c>
      <c r="AC31" s="28"/>
      <c r="AD31" s="28" t="e">
        <f>(1/Table4[[#This Row],[nm8]])*10^7</f>
        <v>#DIV/0!</v>
      </c>
      <c r="AE31" s="28"/>
      <c r="AF31" s="28" t="e">
        <f>(1/Table4[[#This Row],[nm9]])*10^7</f>
        <v>#DIV/0!</v>
      </c>
      <c r="AG31" s="28"/>
      <c r="AH31" s="28"/>
      <c r="AI31" s="28" t="e">
        <f>(1/Table4[[#This Row],[nm4]])*10^7</f>
        <v>#DIV/0!</v>
      </c>
      <c r="AJ31" s="28"/>
      <c r="AK31" s="28" t="e">
        <f>(1/Table4[[#This Row],[nm14]])*10^7</f>
        <v>#DIV/0!</v>
      </c>
      <c r="AL31" s="28"/>
      <c r="AM31" s="28"/>
      <c r="AN31" s="28" t="e">
        <f>(1/Table4[[#This Row],[nm28]])*10^7</f>
        <v>#DIV/0!</v>
      </c>
      <c r="AO31" s="28"/>
      <c r="AP31" s="28" t="e">
        <f>(1/Table4[[#This Row],[nm10]])*10^7</f>
        <v>#DIV/0!</v>
      </c>
      <c r="AQ31" s="28"/>
      <c r="AR31" s="28" t="e">
        <f>(1/Table4[[#This Row],[nm11]])*10^7</f>
        <v>#DIV/0!</v>
      </c>
      <c r="AS31" s="28"/>
      <c r="AT31" s="28">
        <f>Table4[[#This Row],[Φ]]*100</f>
        <v>0</v>
      </c>
      <c r="AU31" s="28"/>
      <c r="AV31" s="28"/>
    </row>
    <row r="32" spans="1:48" x14ac:dyDescent="0.3">
      <c r="A32" s="27" t="s">
        <v>692</v>
      </c>
      <c r="B32" s="29" t="str">
        <f>VLOOKUP(Table4[[#This Row],[Marker name]],BaseInfos_Table[],3,FALSE)</f>
        <v>12037-29-5</v>
      </c>
      <c r="C32" s="27" t="str">
        <f>VLOOKUP(Table4[[#This Row],[Marker name]],BaseInfos_Table[#All],6,FALSE)</f>
        <v>XRF</v>
      </c>
      <c r="D32" s="41" t="s">
        <v>378</v>
      </c>
      <c r="F32" s="41">
        <v>1</v>
      </c>
      <c r="G32" s="41">
        <f>(1*10^7)/Table4[[#This Row],[cm-1]]</f>
        <v>24096.385542168675</v>
      </c>
      <c r="H32" s="41">
        <v>415</v>
      </c>
      <c r="I32" s="41" t="e">
        <f>(1*10^7)/Table4[[#This Row],[cm-2]]</f>
        <v>#DIV/0!</v>
      </c>
      <c r="K32" s="41" t="e">
        <f>(1*10^7)/Table4[[#This Row],[cm-3]]</f>
        <v>#DIV/0!</v>
      </c>
      <c r="M32" s="44" t="s">
        <v>395</v>
      </c>
      <c r="R32" s="41" t="e">
        <f>(1*10^7)/Table4[[#This Row],[nm2]]</f>
        <v>#DIV/0!</v>
      </c>
      <c r="T32" s="41" t="e">
        <f>(1*10^7)/Table4[[#This Row],[nm12]]</f>
        <v>#DIV/0!</v>
      </c>
      <c r="Z32" s="28"/>
      <c r="AA32" s="28"/>
      <c r="AB32" s="28" t="e">
        <f>(1/Table4[[#This Row],[nm5]])*10^7</f>
        <v>#DIV/0!</v>
      </c>
      <c r="AC32" s="28"/>
      <c r="AD32" s="28" t="e">
        <f>(1/Table4[[#This Row],[nm8]])*10^7</f>
        <v>#DIV/0!</v>
      </c>
      <c r="AE32" s="28"/>
      <c r="AF32" s="28" t="e">
        <f>(1/Table4[[#This Row],[nm9]])*10^7</f>
        <v>#DIV/0!</v>
      </c>
      <c r="AG32" s="28"/>
      <c r="AH32" s="28"/>
      <c r="AI32" s="28" t="e">
        <f>(1/Table4[[#This Row],[nm4]])*10^7</f>
        <v>#DIV/0!</v>
      </c>
      <c r="AJ32" s="28"/>
      <c r="AK32" s="28" t="e">
        <f>(1/Table4[[#This Row],[nm14]])*10^7</f>
        <v>#DIV/0!</v>
      </c>
      <c r="AL32" s="28"/>
      <c r="AM32" s="28"/>
      <c r="AN32" s="28" t="e">
        <f>(1/Table4[[#This Row],[nm28]])*10^7</f>
        <v>#DIV/0!</v>
      </c>
      <c r="AO32" s="28"/>
      <c r="AP32" s="28" t="e">
        <f>(1/Table4[[#This Row],[nm10]])*10^7</f>
        <v>#DIV/0!</v>
      </c>
      <c r="AQ32" s="28"/>
      <c r="AR32" s="28" t="e">
        <f>(1/Table4[[#This Row],[nm11]])*10^7</f>
        <v>#DIV/0!</v>
      </c>
      <c r="AS32" s="28"/>
      <c r="AT32" s="28">
        <f>Table4[[#This Row],[Φ]]*100</f>
        <v>0</v>
      </c>
      <c r="AU32" s="28"/>
      <c r="AV32" s="28"/>
    </row>
    <row r="33" spans="1:48" x14ac:dyDescent="0.3">
      <c r="A33" s="27" t="s">
        <v>693</v>
      </c>
      <c r="B33" s="29" t="str">
        <f>VLOOKUP(Table4[[#This Row],[Marker name]],BaseInfos_Table[],3,FALSE)</f>
        <v>12061-16-4</v>
      </c>
      <c r="C33" s="27" t="str">
        <f>VLOOKUP(Table4[[#This Row],[Marker name]],BaseInfos_Table[#All],6,FALSE)</f>
        <v>XRF</v>
      </c>
      <c r="D33" s="41" t="s">
        <v>378</v>
      </c>
      <c r="F33" s="41">
        <v>2</v>
      </c>
      <c r="G33" s="41">
        <f>(1*10^7)/Table4[[#This Row],[cm-1]]</f>
        <v>21505.37634408602</v>
      </c>
      <c r="H33" s="41">
        <v>465</v>
      </c>
      <c r="I33" s="41">
        <f>(1*10^7)/Table4[[#This Row],[cm-2]]</f>
        <v>24213.075060532687</v>
      </c>
      <c r="J33" s="41">
        <v>413</v>
      </c>
      <c r="K33" s="41" t="e">
        <f>(1*10^7)/Table4[[#This Row],[cm-3]]</f>
        <v>#DIV/0!</v>
      </c>
      <c r="M33" s="44" t="s">
        <v>396</v>
      </c>
      <c r="R33" s="41" t="e">
        <f>(1*10^7)/Table4[[#This Row],[nm2]]</f>
        <v>#DIV/0!</v>
      </c>
      <c r="T33" s="41" t="e">
        <f>(1*10^7)/Table4[[#This Row],[nm12]]</f>
        <v>#DIV/0!</v>
      </c>
      <c r="Z33" s="28"/>
      <c r="AA33" s="28"/>
      <c r="AB33" s="28" t="e">
        <f>(1/Table4[[#This Row],[nm5]])*10^7</f>
        <v>#DIV/0!</v>
      </c>
      <c r="AC33" s="28"/>
      <c r="AD33" s="28" t="e">
        <f>(1/Table4[[#This Row],[nm8]])*10^7</f>
        <v>#DIV/0!</v>
      </c>
      <c r="AE33" s="28"/>
      <c r="AF33" s="28" t="e">
        <f>(1/Table4[[#This Row],[nm9]])*10^7</f>
        <v>#DIV/0!</v>
      </c>
      <c r="AG33" s="28"/>
      <c r="AH33" s="28">
        <v>514</v>
      </c>
      <c r="AI33" s="28">
        <f>(1/Table4[[#This Row],[nm4]])*10^7</f>
        <v>19455.252918287937</v>
      </c>
      <c r="AJ33" s="28"/>
      <c r="AK33" s="28" t="e">
        <f>(1/Table4[[#This Row],[nm14]])*10^7</f>
        <v>#DIV/0!</v>
      </c>
      <c r="AL33" s="28">
        <v>3</v>
      </c>
      <c r="AM33" s="28">
        <v>564</v>
      </c>
      <c r="AN33" s="28">
        <f>(1/Table4[[#This Row],[nm28]])*10^7</f>
        <v>17730.496453900709</v>
      </c>
      <c r="AO33" s="28">
        <v>662</v>
      </c>
      <c r="AP33" s="28">
        <f>(1/Table4[[#This Row],[nm10]])*10^7</f>
        <v>15105.740181268882</v>
      </c>
      <c r="AQ33" s="28">
        <v>684</v>
      </c>
      <c r="AR33" s="28">
        <f>(1/Table4[[#This Row],[nm11]])*10^7</f>
        <v>14619.883040935672</v>
      </c>
      <c r="AS33" s="28" t="s">
        <v>727</v>
      </c>
      <c r="AT33" s="28">
        <f>Table4[[#This Row],[Φ]]*100</f>
        <v>0</v>
      </c>
      <c r="AU33" s="28"/>
      <c r="AV33" s="28"/>
    </row>
    <row r="34" spans="1:48" x14ac:dyDescent="0.3">
      <c r="A34" s="27" t="s">
        <v>694</v>
      </c>
      <c r="B34" s="29" t="str">
        <f>VLOOKUP(Table4[[#This Row],[Marker name]],BaseInfos_Table[],3,FALSE)</f>
        <v>1314-37-0</v>
      </c>
      <c r="C34" s="27" t="str">
        <f>VLOOKUP(Table4[[#This Row],[Marker name]],BaseInfos_Table[#All],6,FALSE)</f>
        <v>XRF</v>
      </c>
      <c r="D34" s="41" t="s">
        <v>378</v>
      </c>
      <c r="F34" s="41">
        <v>3</v>
      </c>
      <c r="G34" s="41">
        <f>(1*10^7)/Table4[[#This Row],[cm-1]]</f>
        <v>6578.9473684210525</v>
      </c>
      <c r="H34" s="41">
        <v>1520</v>
      </c>
      <c r="I34" s="41">
        <f>(1*10^7)/Table4[[#This Row],[cm-2]]</f>
        <v>7092.1985815602839</v>
      </c>
      <c r="J34" s="41">
        <v>1410</v>
      </c>
      <c r="K34" s="41">
        <f>(1*10^7)/Table4[[#This Row],[cm-3]]</f>
        <v>9174.3119266055037</v>
      </c>
      <c r="L34" s="41">
        <v>1090</v>
      </c>
      <c r="M34" s="44" t="s">
        <v>397</v>
      </c>
      <c r="R34" s="41" t="e">
        <f>(1*10^7)/Table4[[#This Row],[nm2]]</f>
        <v>#DIV/0!</v>
      </c>
      <c r="T34" s="41" t="e">
        <f>(1*10^7)/Table4[[#This Row],[nm12]]</f>
        <v>#DIV/0!</v>
      </c>
      <c r="Z34" s="28"/>
      <c r="AA34" s="28"/>
      <c r="AB34" s="28" t="e">
        <f>(1/Table4[[#This Row],[nm5]])*10^7</f>
        <v>#DIV/0!</v>
      </c>
      <c r="AC34" s="28"/>
      <c r="AD34" s="28" t="e">
        <f>(1/Table4[[#This Row],[nm8]])*10^7</f>
        <v>#DIV/0!</v>
      </c>
      <c r="AE34" s="28"/>
      <c r="AF34" s="28" t="e">
        <f>(1/Table4[[#This Row],[nm9]])*10^7</f>
        <v>#DIV/0!</v>
      </c>
      <c r="AG34" s="28"/>
      <c r="AH34" s="28"/>
      <c r="AI34" s="28" t="e">
        <f>(1/Table4[[#This Row],[nm4]])*10^7</f>
        <v>#DIV/0!</v>
      </c>
      <c r="AJ34" s="28"/>
      <c r="AK34" s="28" t="e">
        <f>(1/Table4[[#This Row],[nm14]])*10^7</f>
        <v>#DIV/0!</v>
      </c>
      <c r="AL34" s="28"/>
      <c r="AM34" s="28"/>
      <c r="AN34" s="28" t="e">
        <f>(1/Table4[[#This Row],[nm28]])*10^7</f>
        <v>#DIV/0!</v>
      </c>
      <c r="AO34" s="28"/>
      <c r="AP34" s="28" t="e">
        <f>(1/Table4[[#This Row],[nm10]])*10^7</f>
        <v>#DIV/0!</v>
      </c>
      <c r="AQ34" s="28"/>
      <c r="AR34" s="28" t="e">
        <f>(1/Table4[[#This Row],[nm11]])*10^7</f>
        <v>#DIV/0!</v>
      </c>
      <c r="AS34" s="28"/>
      <c r="AT34" s="28">
        <f>Table4[[#This Row],[Φ]]*100</f>
        <v>0</v>
      </c>
      <c r="AU34" s="28"/>
      <c r="AV34" s="28"/>
    </row>
    <row r="35" spans="1:48" x14ac:dyDescent="0.3">
      <c r="A35" s="27" t="s">
        <v>695</v>
      </c>
      <c r="B35" s="29" t="str">
        <f>VLOOKUP(Table4[[#This Row],[Marker name]],BaseInfos_Table[],3,FALSE)</f>
        <v>68585-82-0</v>
      </c>
      <c r="C35" s="27" t="str">
        <f>VLOOKUP(Table4[[#This Row],[Marker name]],BaseInfos_Table[#All],6,FALSE)</f>
        <v>UV-Vis, XRF</v>
      </c>
      <c r="G35" s="41" t="e">
        <f>(1*10^7)/Table4[[#This Row],[cm-1]]</f>
        <v>#DIV/0!</v>
      </c>
      <c r="I35" s="41" t="e">
        <f>(1*10^7)/Table4[[#This Row],[cm-2]]</f>
        <v>#DIV/0!</v>
      </c>
      <c r="K35" s="41" t="e">
        <f>(1*10^7)/Table4[[#This Row],[cm-3]]</f>
        <v>#DIV/0!</v>
      </c>
      <c r="R35" s="41" t="e">
        <f>(1*10^7)/Table4[[#This Row],[nm2]]</f>
        <v>#DIV/0!</v>
      </c>
      <c r="T35" s="41" t="e">
        <f>(1*10^7)/Table4[[#This Row],[nm12]]</f>
        <v>#DIV/0!</v>
      </c>
      <c r="Z35" s="28"/>
      <c r="AA35" s="28"/>
      <c r="AB35" s="28" t="e">
        <f>(1/Table4[[#This Row],[nm5]])*10^7</f>
        <v>#DIV/0!</v>
      </c>
      <c r="AC35" s="28"/>
      <c r="AD35" s="28" t="e">
        <f>(1/Table4[[#This Row],[nm8]])*10^7</f>
        <v>#DIV/0!</v>
      </c>
      <c r="AE35" s="28"/>
      <c r="AF35" s="28" t="e">
        <f>(1/Table4[[#This Row],[nm9]])*10^7</f>
        <v>#DIV/0!</v>
      </c>
      <c r="AG35" s="28"/>
      <c r="AH35" s="28"/>
      <c r="AI35" s="28" t="e">
        <f>(1/Table4[[#This Row],[nm4]])*10^7</f>
        <v>#DIV/0!</v>
      </c>
      <c r="AJ35" s="28"/>
      <c r="AK35" s="28" t="e">
        <f>(1/Table4[[#This Row],[nm14]])*10^7</f>
        <v>#DIV/0!</v>
      </c>
      <c r="AL35" s="28"/>
      <c r="AM35" s="28"/>
      <c r="AN35" s="28" t="e">
        <f>(1/Table4[[#This Row],[nm28]])*10^7</f>
        <v>#DIV/0!</v>
      </c>
      <c r="AO35" s="28"/>
      <c r="AP35" s="28" t="e">
        <f>(1/Table4[[#This Row],[nm10]])*10^7</f>
        <v>#DIV/0!</v>
      </c>
      <c r="AQ35" s="28"/>
      <c r="AR35" s="28" t="e">
        <f>(1/Table4[[#This Row],[nm11]])*10^7</f>
        <v>#DIV/0!</v>
      </c>
      <c r="AS35" s="28"/>
      <c r="AT35" s="28">
        <f>Table4[[#This Row],[Φ]]*100</f>
        <v>0</v>
      </c>
      <c r="AU35" s="28"/>
      <c r="AV35" s="28"/>
    </row>
    <row r="36" spans="1:48" x14ac:dyDescent="0.3">
      <c r="A36" s="27" t="s">
        <v>696</v>
      </c>
      <c r="B36" s="29" t="str">
        <f>VLOOKUP(Table4[[#This Row],[Marker name]],BaseInfos_Table[],3,FALSE)</f>
        <v>63774-55-0</v>
      </c>
      <c r="C36" s="27" t="str">
        <f>VLOOKUP(Table4[[#This Row],[Marker name]],BaseInfos_Table[#All],6,FALSE)</f>
        <v>UV-Vis, XRF</v>
      </c>
      <c r="G36" s="41" t="e">
        <f>(1*10^7)/Table4[[#This Row],[cm-1]]</f>
        <v>#DIV/0!</v>
      </c>
      <c r="I36" s="41" t="e">
        <f>(1*10^7)/Table4[[#This Row],[cm-2]]</f>
        <v>#DIV/0!</v>
      </c>
      <c r="K36" s="41" t="e">
        <f>(1*10^7)/Table4[[#This Row],[cm-3]]</f>
        <v>#DIV/0!</v>
      </c>
      <c r="R36" s="41" t="e">
        <f>(1*10^7)/Table4[[#This Row],[nm2]]</f>
        <v>#DIV/0!</v>
      </c>
      <c r="T36" s="41" t="e">
        <f>(1*10^7)/Table4[[#This Row],[nm12]]</f>
        <v>#DIV/0!</v>
      </c>
      <c r="Z36" s="28"/>
      <c r="AA36" s="28"/>
      <c r="AB36" s="28" t="e">
        <f>(1/Table4[[#This Row],[nm5]])*10^7</f>
        <v>#DIV/0!</v>
      </c>
      <c r="AC36" s="28"/>
      <c r="AD36" s="28" t="e">
        <f>(1/Table4[[#This Row],[nm8]])*10^7</f>
        <v>#DIV/0!</v>
      </c>
      <c r="AE36" s="28"/>
      <c r="AF36" s="28" t="e">
        <f>(1/Table4[[#This Row],[nm9]])*10^7</f>
        <v>#DIV/0!</v>
      </c>
      <c r="AG36" s="28"/>
      <c r="AH36" s="28"/>
      <c r="AI36" s="28" t="e">
        <f>(1/Table4[[#This Row],[nm4]])*10^7</f>
        <v>#DIV/0!</v>
      </c>
      <c r="AJ36" s="28"/>
      <c r="AK36" s="28" t="e">
        <f>(1/Table4[[#This Row],[nm14]])*10^7</f>
        <v>#DIV/0!</v>
      </c>
      <c r="AL36" s="28"/>
      <c r="AM36" s="28"/>
      <c r="AN36" s="28" t="e">
        <f>(1/Table4[[#This Row],[nm28]])*10^7</f>
        <v>#DIV/0!</v>
      </c>
      <c r="AO36" s="28"/>
      <c r="AP36" s="28" t="e">
        <f>(1/Table4[[#This Row],[nm10]])*10^7</f>
        <v>#DIV/0!</v>
      </c>
      <c r="AQ36" s="28"/>
      <c r="AR36" s="28" t="e">
        <f>(1/Table4[[#This Row],[nm11]])*10^7</f>
        <v>#DIV/0!</v>
      </c>
      <c r="AS36" s="28"/>
      <c r="AT36" s="28">
        <f>Table4[[#This Row],[Φ]]*100</f>
        <v>0</v>
      </c>
      <c r="AU36" s="28"/>
      <c r="AV36" s="28"/>
    </row>
    <row r="37" spans="1:48" x14ac:dyDescent="0.3">
      <c r="A37" s="27" t="s">
        <v>398</v>
      </c>
      <c r="B37" s="29" t="str">
        <f>VLOOKUP(Table4[[#This Row],[Marker name]],BaseInfos_Table[],3,FALSE)</f>
        <v>1309-48-4</v>
      </c>
      <c r="C37" s="27" t="str">
        <f>VLOOKUP(Table4[[#This Row],[Marker name]],BaseInfos_Table[#All],6,FALSE)</f>
        <v>UV-Vis, XRF</v>
      </c>
      <c r="D37" s="41" t="s">
        <v>383</v>
      </c>
      <c r="F37" s="41">
        <v>3</v>
      </c>
      <c r="G37" s="41">
        <f>(1*10^7)/Table4[[#This Row],[cm-1]]</f>
        <v>6993.0069930069931</v>
      </c>
      <c r="H37" s="41">
        <v>1430</v>
      </c>
      <c r="I37" s="41">
        <f>(1*10^7)/Table4[[#This Row],[cm-2]]</f>
        <v>9756.0975609756097</v>
      </c>
      <c r="J37" s="41">
        <v>1025</v>
      </c>
      <c r="K37" s="41">
        <f>(1*10^7)/Table4[[#This Row],[cm-3]]</f>
        <v>20000</v>
      </c>
      <c r="L37" s="41">
        <v>500</v>
      </c>
      <c r="M37" s="44" t="s">
        <v>402</v>
      </c>
      <c r="R37" s="41" t="e">
        <f>(1*10^7)/Table4[[#This Row],[nm2]]</f>
        <v>#DIV/0!</v>
      </c>
      <c r="T37" s="41" t="e">
        <f>(1*10^7)/Table4[[#This Row],[nm12]]</f>
        <v>#DIV/0!</v>
      </c>
      <c r="Z37" s="28">
        <v>2</v>
      </c>
      <c r="AA37" s="28">
        <v>290</v>
      </c>
      <c r="AB37" s="28">
        <f>(1/Table4[[#This Row],[nm5]])*10^7</f>
        <v>34482.758620689652</v>
      </c>
      <c r="AC37" s="28">
        <v>390</v>
      </c>
      <c r="AD37" s="28">
        <f>(1/Table4[[#This Row],[nm8]])*10^7</f>
        <v>25641.025641025641</v>
      </c>
      <c r="AE37" s="28"/>
      <c r="AF37" s="28" t="e">
        <f>(1/Table4[[#This Row],[nm9]])*10^7</f>
        <v>#DIV/0!</v>
      </c>
      <c r="AG37" s="28" t="s">
        <v>728</v>
      </c>
      <c r="AH37" s="28">
        <v>325</v>
      </c>
      <c r="AI37" s="28">
        <f>(1/Table4[[#This Row],[nm4]])*10^7</f>
        <v>30769.23076923077</v>
      </c>
      <c r="AJ37" s="28"/>
      <c r="AK37" s="28" t="e">
        <f>(1/Table4[[#This Row],[nm14]])*10^7</f>
        <v>#DIV/0!</v>
      </c>
      <c r="AL37" s="28">
        <v>1</v>
      </c>
      <c r="AM37" s="28">
        <v>800</v>
      </c>
      <c r="AN37" s="28">
        <f>(1/Table4[[#This Row],[nm28]])*10^7</f>
        <v>12500</v>
      </c>
      <c r="AO37" s="28"/>
      <c r="AP37" s="28" t="e">
        <f>(1/Table4[[#This Row],[nm10]])*10^7</f>
        <v>#DIV/0!</v>
      </c>
      <c r="AQ37" s="28"/>
      <c r="AR37" s="28" t="e">
        <f>(1/Table4[[#This Row],[nm11]])*10^7</f>
        <v>#DIV/0!</v>
      </c>
      <c r="AS37" s="28" t="s">
        <v>729</v>
      </c>
      <c r="AT37" s="28">
        <f>Table4[[#This Row],[Φ]]*100</f>
        <v>0</v>
      </c>
      <c r="AU37" s="28"/>
      <c r="AV37" s="28"/>
    </row>
    <row r="38" spans="1:48" x14ac:dyDescent="0.3">
      <c r="A38" s="30" t="s">
        <v>697</v>
      </c>
      <c r="B38" s="29" t="str">
        <f>VLOOKUP(Table4[[#This Row],[Marker name]],BaseInfos_Table[],3,FALSE)</f>
        <v>12060-58-1</v>
      </c>
      <c r="C38" s="27" t="str">
        <f>VLOOKUP(Table4[[#This Row],[Marker name]],BaseInfos_Table[#All],6,FALSE)</f>
        <v>UV-VIS, XRF</v>
      </c>
      <c r="G38" s="41" t="e">
        <f>(1*10^7)/Table4[[#This Row],[cm-1]]</f>
        <v>#DIV/0!</v>
      </c>
      <c r="I38" s="41" t="e">
        <f>(1*10^7)/Table4[[#This Row],[cm-2]]</f>
        <v>#DIV/0!</v>
      </c>
      <c r="K38" s="41" t="e">
        <f>(1*10^7)/Table4[[#This Row],[cm-3]]</f>
        <v>#DIV/0!</v>
      </c>
      <c r="R38" s="41" t="e">
        <f>(1*10^7)/Table4[[#This Row],[nm2]]</f>
        <v>#DIV/0!</v>
      </c>
      <c r="T38" s="41" t="e">
        <f>(1*10^7)/Table4[[#This Row],[nm12]]</f>
        <v>#DIV/0!</v>
      </c>
      <c r="Z38" s="28"/>
      <c r="AA38" s="28"/>
      <c r="AB38" s="28" t="e">
        <f>(1/Table4[[#This Row],[nm5]])*10^7</f>
        <v>#DIV/0!</v>
      </c>
      <c r="AC38" s="28"/>
      <c r="AD38" s="28" t="e">
        <f>(1/Table4[[#This Row],[nm8]])*10^7</f>
        <v>#DIV/0!</v>
      </c>
      <c r="AE38" s="28"/>
      <c r="AF38" s="28" t="e">
        <f>(1/Table4[[#This Row],[nm9]])*10^7</f>
        <v>#DIV/0!</v>
      </c>
      <c r="AG38" s="28"/>
      <c r="AH38" s="28"/>
      <c r="AI38" s="28" t="e">
        <f>(1/Table4[[#This Row],[nm4]])*10^7</f>
        <v>#DIV/0!</v>
      </c>
      <c r="AJ38" s="28"/>
      <c r="AK38" s="28" t="e">
        <f>(1/Table4[[#This Row],[nm14]])*10^7</f>
        <v>#DIV/0!</v>
      </c>
      <c r="AL38" s="28"/>
      <c r="AM38" s="28"/>
      <c r="AN38" s="28" t="e">
        <f>(1/Table4[[#This Row],[nm28]])*10^7</f>
        <v>#DIV/0!</v>
      </c>
      <c r="AO38" s="28"/>
      <c r="AP38" s="28" t="e">
        <f>(1/Table4[[#This Row],[nm10]])*10^7</f>
        <v>#DIV/0!</v>
      </c>
      <c r="AQ38" s="28"/>
      <c r="AR38" s="28" t="e">
        <f>(1/Table4[[#This Row],[nm11]])*10^7</f>
        <v>#DIV/0!</v>
      </c>
      <c r="AS38" s="28"/>
      <c r="AT38" s="28">
        <f>Table4[[#This Row],[Φ]]*100</f>
        <v>0</v>
      </c>
      <c r="AU38" s="28"/>
      <c r="AV38" s="28"/>
    </row>
    <row r="39" spans="1:48" ht="16.5" x14ac:dyDescent="0.3">
      <c r="A39" s="30" t="s">
        <v>698</v>
      </c>
      <c r="B39" s="29" t="str">
        <f>VLOOKUP(Table4[[#This Row],[Marker name]],BaseInfos_Table[],3,FALSE)</f>
        <v>68585-83-1</v>
      </c>
      <c r="C39" s="27" t="str">
        <f>VLOOKUP(Table4[[#This Row],[Marker name]],BaseInfos_Table[#All],6,FALSE)</f>
        <v>IR, UV-VIS, XRF</v>
      </c>
      <c r="G39" s="41" t="e">
        <f>(1*10^7)/Table4[[#This Row],[cm-1]]</f>
        <v>#DIV/0!</v>
      </c>
      <c r="I39" s="41" t="e">
        <f>(1*10^7)/Table4[[#This Row],[cm-2]]</f>
        <v>#DIV/0!</v>
      </c>
      <c r="K39" s="41" t="e">
        <f>(1*10^7)/Table4[[#This Row],[cm-3]]</f>
        <v>#DIV/0!</v>
      </c>
      <c r="N39" s="41">
        <v>975</v>
      </c>
      <c r="P39" s="41">
        <v>1</v>
      </c>
      <c r="Q39" s="41">
        <v>550</v>
      </c>
      <c r="R39" s="41">
        <f>(1*10^7)/Table4[[#This Row],[nm2]]</f>
        <v>18181.81818181818</v>
      </c>
      <c r="T39" s="41" t="e">
        <f>(1*10^7)/Table4[[#This Row],[nm12]]</f>
        <v>#DIV/0!</v>
      </c>
      <c r="W39" s="41" t="s">
        <v>730</v>
      </c>
      <c r="Z39" s="28"/>
      <c r="AA39" s="28"/>
      <c r="AB39" s="28" t="e">
        <f>(1/Table4[[#This Row],[nm5]])*10^7</f>
        <v>#DIV/0!</v>
      </c>
      <c r="AC39" s="28"/>
      <c r="AD39" s="28" t="e">
        <f>(1/Table4[[#This Row],[nm8]])*10^7</f>
        <v>#DIV/0!</v>
      </c>
      <c r="AE39" s="28"/>
      <c r="AF39" s="28" t="e">
        <f>(1/Table4[[#This Row],[nm9]])*10^7</f>
        <v>#DIV/0!</v>
      </c>
      <c r="AG39" s="28"/>
      <c r="AH39" s="28"/>
      <c r="AI39" s="28" t="e">
        <f>(1/Table4[[#This Row],[nm4]])*10^7</f>
        <v>#DIV/0!</v>
      </c>
      <c r="AJ39" s="28"/>
      <c r="AK39" s="28" t="e">
        <f>(1/Table4[[#This Row],[nm14]])*10^7</f>
        <v>#DIV/0!</v>
      </c>
      <c r="AL39" s="28"/>
      <c r="AM39" s="28"/>
      <c r="AN39" s="28" t="e">
        <f>(1/Table4[[#This Row],[nm28]])*10^7</f>
        <v>#DIV/0!</v>
      </c>
      <c r="AO39" s="28"/>
      <c r="AP39" s="28" t="e">
        <f>(1/Table4[[#This Row],[nm10]])*10^7</f>
        <v>#DIV/0!</v>
      </c>
      <c r="AQ39" s="28"/>
      <c r="AR39" s="28" t="e">
        <f>(1/Table4[[#This Row],[nm11]])*10^7</f>
        <v>#DIV/0!</v>
      </c>
      <c r="AS39" s="28"/>
      <c r="AT39" s="28">
        <f>Table4[[#This Row],[Φ]]*100</f>
        <v>0</v>
      </c>
      <c r="AU39" s="28"/>
      <c r="AV39" s="28"/>
    </row>
    <row r="40" spans="1:48" x14ac:dyDescent="0.3">
      <c r="A40" s="30" t="s">
        <v>699</v>
      </c>
      <c r="B40" s="29" t="str">
        <f>VLOOKUP(Table4[[#This Row],[Marker name]],BaseInfos_Table[],3,FALSE)</f>
        <v>68609-38-1</v>
      </c>
      <c r="C40" s="27" t="str">
        <f>VLOOKUP(Table4[[#This Row],[Marker name]],BaseInfos_Table[#All],6,FALSE)</f>
        <v>IR, UV-VIS, XRF</v>
      </c>
      <c r="D40" s="41" t="s">
        <v>391</v>
      </c>
      <c r="F40" s="41">
        <v>2</v>
      </c>
      <c r="G40" s="41">
        <f>(1*10^7)/Table4[[#This Row],[cm-1]]</f>
        <v>18382.352941176472</v>
      </c>
      <c r="H40" s="41">
        <v>544</v>
      </c>
      <c r="I40" s="41">
        <f>(1*10^7)/Table4[[#This Row],[cm-2]]</f>
        <v>22727.272727272728</v>
      </c>
      <c r="J40" s="41">
        <v>440</v>
      </c>
      <c r="K40" s="41" t="e">
        <f>(1*10^7)/Table4[[#This Row],[cm-3]]</f>
        <v>#DIV/0!</v>
      </c>
      <c r="M40" s="41" t="s">
        <v>731</v>
      </c>
      <c r="R40" s="41" t="e">
        <f>(1*10^7)/Table4[[#This Row],[nm2]]</f>
        <v>#DIV/0!</v>
      </c>
      <c r="T40" s="41" t="e">
        <f>(1*10^7)/Table4[[#This Row],[nm12]]</f>
        <v>#DIV/0!</v>
      </c>
      <c r="Z40" s="28"/>
      <c r="AA40" s="28"/>
      <c r="AB40" s="28" t="e">
        <f>(1/Table4[[#This Row],[nm5]])*10^7</f>
        <v>#DIV/0!</v>
      </c>
      <c r="AC40" s="28"/>
      <c r="AD40" s="28" t="e">
        <f>(1/Table4[[#This Row],[nm8]])*10^7</f>
        <v>#DIV/0!</v>
      </c>
      <c r="AE40" s="28"/>
      <c r="AF40" s="28" t="e">
        <f>(1/Table4[[#This Row],[nm9]])*10^7</f>
        <v>#DIV/0!</v>
      </c>
      <c r="AG40" s="28"/>
      <c r="AH40" s="28"/>
      <c r="AI40" s="28" t="e">
        <f>(1/Table4[[#This Row],[nm4]])*10^7</f>
        <v>#DIV/0!</v>
      </c>
      <c r="AJ40" s="28"/>
      <c r="AK40" s="28" t="e">
        <f>(1/Table4[[#This Row],[nm14]])*10^7</f>
        <v>#DIV/0!</v>
      </c>
      <c r="AL40" s="28"/>
      <c r="AM40" s="28"/>
      <c r="AN40" s="28" t="e">
        <f>(1/Table4[[#This Row],[nm28]])*10^7</f>
        <v>#DIV/0!</v>
      </c>
      <c r="AO40" s="28"/>
      <c r="AP40" s="28" t="e">
        <f>(1/Table4[[#This Row],[nm10]])*10^7</f>
        <v>#DIV/0!</v>
      </c>
      <c r="AQ40" s="28"/>
      <c r="AR40" s="28" t="e">
        <f>(1/Table4[[#This Row],[nm11]])*10^7</f>
        <v>#DIV/0!</v>
      </c>
      <c r="AS40" s="28"/>
      <c r="AT40" s="28">
        <f>Table4[[#This Row],[Φ]]*100</f>
        <v>0</v>
      </c>
      <c r="AU40" s="28"/>
      <c r="AV40" s="28"/>
    </row>
    <row r="41" spans="1:48" ht="16.5" x14ac:dyDescent="0.3">
      <c r="A41" s="30" t="s">
        <v>700</v>
      </c>
      <c r="B41" s="29" t="str">
        <f>VLOOKUP(Table4[[#This Row],[Marker name]],BaseInfos_Table[],3,FALSE)</f>
        <v>n.a.</v>
      </c>
      <c r="C41" s="27" t="str">
        <f>VLOOKUP(Table4[[#This Row],[Marker name]],BaseInfos_Table[#All],6,FALSE)</f>
        <v>IR, UV-Vis, XRF</v>
      </c>
      <c r="G41" s="41" t="e">
        <f>(1*10^7)/Table4[[#This Row],[cm-1]]</f>
        <v>#DIV/0!</v>
      </c>
      <c r="I41" s="41" t="e">
        <f>(1*10^7)/Table4[[#This Row],[cm-2]]</f>
        <v>#DIV/0!</v>
      </c>
      <c r="K41" s="41" t="e">
        <f>(1*10^7)/Table4[[#This Row],[cm-3]]</f>
        <v>#DIV/0!</v>
      </c>
      <c r="N41" s="41">
        <v>980</v>
      </c>
      <c r="P41" s="41">
        <v>1</v>
      </c>
      <c r="Q41" s="41">
        <v>1540</v>
      </c>
      <c r="R41" s="41">
        <f>(1*10^7)/Table4[[#This Row],[nm2]]</f>
        <v>6493.5064935064938</v>
      </c>
      <c r="T41" s="41" t="e">
        <f>(1*10^7)/Table4[[#This Row],[nm12]]</f>
        <v>#DIV/0!</v>
      </c>
      <c r="W41" s="41" t="s">
        <v>732</v>
      </c>
      <c r="Z41" s="28"/>
      <c r="AA41" s="28"/>
      <c r="AB41" s="28" t="e">
        <f>(1/Table4[[#This Row],[nm5]])*10^7</f>
        <v>#DIV/0!</v>
      </c>
      <c r="AC41" s="28"/>
      <c r="AD41" s="28" t="e">
        <f>(1/Table4[[#This Row],[nm8]])*10^7</f>
        <v>#DIV/0!</v>
      </c>
      <c r="AE41" s="28"/>
      <c r="AF41" s="28" t="e">
        <f>(1/Table4[[#This Row],[nm9]])*10^7</f>
        <v>#DIV/0!</v>
      </c>
      <c r="AG41" s="28"/>
      <c r="AH41" s="28"/>
      <c r="AI41" s="28" t="e">
        <f>(1/Table4[[#This Row],[nm4]])*10^7</f>
        <v>#DIV/0!</v>
      </c>
      <c r="AJ41" s="28"/>
      <c r="AK41" s="28" t="e">
        <f>(1/Table4[[#This Row],[nm14]])*10^7</f>
        <v>#DIV/0!</v>
      </c>
      <c r="AL41" s="28"/>
      <c r="AM41" s="28"/>
      <c r="AN41" s="28" t="e">
        <f>(1/Table4[[#This Row],[nm28]])*10^7</f>
        <v>#DIV/0!</v>
      </c>
      <c r="AO41" s="28"/>
      <c r="AP41" s="28" t="e">
        <f>(1/Table4[[#This Row],[nm10]])*10^7</f>
        <v>#DIV/0!</v>
      </c>
      <c r="AQ41" s="28"/>
      <c r="AR41" s="28" t="e">
        <f>(1/Table4[[#This Row],[nm11]])*10^7</f>
        <v>#DIV/0!</v>
      </c>
      <c r="AS41" s="28"/>
      <c r="AT41" s="28">
        <f>Table4[[#This Row],[Φ]]*100</f>
        <v>0</v>
      </c>
      <c r="AU41" s="28"/>
      <c r="AV41" s="28"/>
    </row>
    <row r="42" spans="1:48" ht="16.5" x14ac:dyDescent="0.3">
      <c r="A42" s="30" t="s">
        <v>701</v>
      </c>
      <c r="B42" s="29" t="str">
        <f>VLOOKUP(Table4[[#This Row],[Marker name]],BaseInfos_Table[],3,FALSE)</f>
        <v>n.a.</v>
      </c>
      <c r="C42" s="27" t="str">
        <f>VLOOKUP(Table4[[#This Row],[Marker name]],BaseInfos_Table[#All],6,FALSE)</f>
        <v>IR, UV-Vis, XRF</v>
      </c>
      <c r="G42" s="41" t="e">
        <f>(1*10^7)/Table4[[#This Row],[cm-1]]</f>
        <v>#DIV/0!</v>
      </c>
      <c r="I42" s="41" t="e">
        <f>(1*10^7)/Table4[[#This Row],[cm-2]]</f>
        <v>#DIV/0!</v>
      </c>
      <c r="K42" s="41" t="e">
        <f>(1*10^7)/Table4[[#This Row],[cm-3]]</f>
        <v>#DIV/0!</v>
      </c>
      <c r="R42" s="41" t="e">
        <f>(1*10^7)/Table4[[#This Row],[nm2]]</f>
        <v>#DIV/0!</v>
      </c>
      <c r="T42" s="41" t="e">
        <f>(1*10^7)/Table4[[#This Row],[nm12]]</f>
        <v>#DIV/0!</v>
      </c>
      <c r="Z42" s="28"/>
      <c r="AA42" s="28"/>
      <c r="AB42" s="28" t="e">
        <f>(1/Table4[[#This Row],[nm5]])*10^7</f>
        <v>#DIV/0!</v>
      </c>
      <c r="AC42" s="28"/>
      <c r="AD42" s="28" t="e">
        <f>(1/Table4[[#This Row],[nm8]])*10^7</f>
        <v>#DIV/0!</v>
      </c>
      <c r="AE42" s="28"/>
      <c r="AF42" s="28" t="e">
        <f>(1/Table4[[#This Row],[nm9]])*10^7</f>
        <v>#DIV/0!</v>
      </c>
      <c r="AG42" s="28"/>
      <c r="AH42" s="28"/>
      <c r="AI42" s="28" t="e">
        <f>(1/Table4[[#This Row],[nm4]])*10^7</f>
        <v>#DIV/0!</v>
      </c>
      <c r="AJ42" s="28"/>
      <c r="AK42" s="28" t="e">
        <f>(1/Table4[[#This Row],[nm14]])*10^7</f>
        <v>#DIV/0!</v>
      </c>
      <c r="AL42" s="28"/>
      <c r="AM42" s="28"/>
      <c r="AN42" s="28" t="e">
        <f>(1/Table4[[#This Row],[nm28]])*10^7</f>
        <v>#DIV/0!</v>
      </c>
      <c r="AO42" s="28"/>
      <c r="AP42" s="28" t="e">
        <f>(1/Table4[[#This Row],[nm10]])*10^7</f>
        <v>#DIV/0!</v>
      </c>
      <c r="AQ42" s="28"/>
      <c r="AR42" s="28" t="e">
        <f>(1/Table4[[#This Row],[nm11]])*10^7</f>
        <v>#DIV/0!</v>
      </c>
      <c r="AS42" s="28"/>
      <c r="AT42" s="28">
        <f>Table4[[#This Row],[Φ]]*100</f>
        <v>0</v>
      </c>
      <c r="AU42" s="28"/>
      <c r="AV42" s="28"/>
    </row>
    <row r="43" spans="1:48" ht="16.5" x14ac:dyDescent="0.3">
      <c r="A43" s="30" t="s">
        <v>702</v>
      </c>
      <c r="B43" s="29" t="str">
        <f>VLOOKUP(Table4[[#This Row],[Marker name]],BaseInfos_Table[],3,FALSE)</f>
        <v>n.a.</v>
      </c>
      <c r="C43" s="27" t="str">
        <f>VLOOKUP(Table4[[#This Row],[Marker name]],BaseInfos_Table[#All],6,FALSE)</f>
        <v>IR, UV-Vis, XRF</v>
      </c>
      <c r="G43" s="41" t="e">
        <f>(1*10^7)/Table4[[#This Row],[cm-1]]</f>
        <v>#DIV/0!</v>
      </c>
      <c r="I43" s="41" t="e">
        <f>(1*10^7)/Table4[[#This Row],[cm-2]]</f>
        <v>#DIV/0!</v>
      </c>
      <c r="K43" s="41" t="e">
        <f>(1*10^7)/Table4[[#This Row],[cm-3]]</f>
        <v>#DIV/0!</v>
      </c>
      <c r="R43" s="41" t="e">
        <f>(1*10^7)/Table4[[#This Row],[nm2]]</f>
        <v>#DIV/0!</v>
      </c>
      <c r="T43" s="41" t="e">
        <f>(1*10^7)/Table4[[#This Row],[nm12]]</f>
        <v>#DIV/0!</v>
      </c>
      <c r="Z43" s="28"/>
      <c r="AA43" s="28"/>
      <c r="AB43" s="28" t="e">
        <f>(1/Table4[[#This Row],[nm5]])*10^7</f>
        <v>#DIV/0!</v>
      </c>
      <c r="AC43" s="28"/>
      <c r="AD43" s="28" t="e">
        <f>(1/Table4[[#This Row],[nm8]])*10^7</f>
        <v>#DIV/0!</v>
      </c>
      <c r="AE43" s="28"/>
      <c r="AF43" s="28" t="e">
        <f>(1/Table4[[#This Row],[nm9]])*10^7</f>
        <v>#DIV/0!</v>
      </c>
      <c r="AG43" s="28"/>
      <c r="AH43" s="28"/>
      <c r="AI43" s="28" t="e">
        <f>(1/Table4[[#This Row],[nm4]])*10^7</f>
        <v>#DIV/0!</v>
      </c>
      <c r="AJ43" s="28"/>
      <c r="AK43" s="28" t="e">
        <f>(1/Table4[[#This Row],[nm14]])*10^7</f>
        <v>#DIV/0!</v>
      </c>
      <c r="AL43" s="28"/>
      <c r="AM43" s="28"/>
      <c r="AN43" s="28" t="e">
        <f>(1/Table4[[#This Row],[nm28]])*10^7</f>
        <v>#DIV/0!</v>
      </c>
      <c r="AO43" s="28"/>
      <c r="AP43" s="28" t="e">
        <f>(1/Table4[[#This Row],[nm10]])*10^7</f>
        <v>#DIV/0!</v>
      </c>
      <c r="AQ43" s="28"/>
      <c r="AR43" s="28" t="e">
        <f>(1/Table4[[#This Row],[nm11]])*10^7</f>
        <v>#DIV/0!</v>
      </c>
      <c r="AS43" s="28"/>
      <c r="AT43" s="28">
        <f>Table4[[#This Row],[Φ]]*100</f>
        <v>0</v>
      </c>
      <c r="AU43" s="28"/>
      <c r="AV43" s="28"/>
    </row>
    <row r="44" spans="1:48" x14ac:dyDescent="0.3">
      <c r="A44" s="30" t="s">
        <v>703</v>
      </c>
      <c r="B44" s="29" t="str">
        <f>VLOOKUP(Table4[[#This Row],[Marker name]],BaseInfos_Table[],3,FALSE)</f>
        <v>12024-21-4</v>
      </c>
      <c r="C44" s="27" t="str">
        <f>VLOOKUP(Table4[[#This Row],[Marker name]],BaseInfos_Table[#All],6,FALSE)</f>
        <v>IR, UV-Vis, XRF</v>
      </c>
      <c r="G44" s="41" t="e">
        <f>(1*10^7)/Table4[[#This Row],[cm-1]]</f>
        <v>#DIV/0!</v>
      </c>
      <c r="I44" s="41" t="e">
        <f>(1*10^7)/Table4[[#This Row],[cm-2]]</f>
        <v>#DIV/0!</v>
      </c>
      <c r="K44" s="41" t="e">
        <f>(1*10^7)/Table4[[#This Row],[cm-3]]</f>
        <v>#DIV/0!</v>
      </c>
      <c r="R44" s="41" t="e">
        <f>(1*10^7)/Table4[[#This Row],[nm2]]</f>
        <v>#DIV/0!</v>
      </c>
      <c r="T44" s="41" t="e">
        <f>(1*10^7)/Table4[[#This Row],[nm12]]</f>
        <v>#DIV/0!</v>
      </c>
      <c r="Z44" s="28"/>
      <c r="AA44" s="28"/>
      <c r="AB44" s="28" t="e">
        <f>(1/Table4[[#This Row],[nm5]])*10^7</f>
        <v>#DIV/0!</v>
      </c>
      <c r="AC44" s="28"/>
      <c r="AD44" s="28" t="e">
        <f>(1/Table4[[#This Row],[nm8]])*10^7</f>
        <v>#DIV/0!</v>
      </c>
      <c r="AE44" s="28"/>
      <c r="AF44" s="28" t="e">
        <f>(1/Table4[[#This Row],[nm9]])*10^7</f>
        <v>#DIV/0!</v>
      </c>
      <c r="AG44" s="28"/>
      <c r="AH44" s="28"/>
      <c r="AI44" s="28" t="e">
        <f>(1/Table4[[#This Row],[nm4]])*10^7</f>
        <v>#DIV/0!</v>
      </c>
      <c r="AJ44" s="28"/>
      <c r="AK44" s="28" t="e">
        <f>(1/Table4[[#This Row],[nm14]])*10^7</f>
        <v>#DIV/0!</v>
      </c>
      <c r="AL44" s="28"/>
      <c r="AM44" s="28"/>
      <c r="AN44" s="28" t="e">
        <f>(1/Table4[[#This Row],[nm28]])*10^7</f>
        <v>#DIV/0!</v>
      </c>
      <c r="AO44" s="28"/>
      <c r="AP44" s="28" t="e">
        <f>(1/Table4[[#This Row],[nm10]])*10^7</f>
        <v>#DIV/0!</v>
      </c>
      <c r="AQ44" s="28"/>
      <c r="AR44" s="28" t="e">
        <f>(1/Table4[[#This Row],[nm11]])*10^7</f>
        <v>#DIV/0!</v>
      </c>
      <c r="AS44" s="28"/>
      <c r="AT44" s="28">
        <f>Table4[[#This Row],[Φ]]*100</f>
        <v>0</v>
      </c>
      <c r="AU44" s="28"/>
      <c r="AV44" s="28"/>
    </row>
    <row r="45" spans="1:48" ht="16.5" x14ac:dyDescent="0.3">
      <c r="A45" s="30" t="s">
        <v>704</v>
      </c>
      <c r="B45" s="29" t="str">
        <f>VLOOKUP(Table4[[#This Row],[Marker name]],BaseInfos_Table[],3,FALSE)</f>
        <v>n.a.</v>
      </c>
      <c r="C45" s="27" t="str">
        <f>VLOOKUP(Table4[[#This Row],[Marker name]],BaseInfos_Table[#All],6,FALSE)</f>
        <v>IR, UV-Vis, XRF</v>
      </c>
      <c r="G45" s="41" t="e">
        <f>(1*10^7)/Table4[[#This Row],[cm-1]]</f>
        <v>#DIV/0!</v>
      </c>
      <c r="I45" s="41" t="e">
        <f>(1*10^7)/Table4[[#This Row],[cm-2]]</f>
        <v>#DIV/0!</v>
      </c>
      <c r="K45" s="41" t="e">
        <f>(1*10^7)/Table4[[#This Row],[cm-3]]</f>
        <v>#DIV/0!</v>
      </c>
      <c r="R45" s="41" t="e">
        <f>(1*10^7)/Table4[[#This Row],[nm2]]</f>
        <v>#DIV/0!</v>
      </c>
      <c r="T45" s="41" t="e">
        <f>(1*10^7)/Table4[[#This Row],[nm12]]</f>
        <v>#DIV/0!</v>
      </c>
      <c r="Z45" s="28"/>
      <c r="AA45" s="28"/>
      <c r="AB45" s="28" t="e">
        <f>(1/Table4[[#This Row],[nm5]])*10^7</f>
        <v>#DIV/0!</v>
      </c>
      <c r="AC45" s="28"/>
      <c r="AD45" s="28" t="e">
        <f>(1/Table4[[#This Row],[nm8]])*10^7</f>
        <v>#DIV/0!</v>
      </c>
      <c r="AE45" s="28"/>
      <c r="AF45" s="28" t="e">
        <f>(1/Table4[[#This Row],[nm9]])*10^7</f>
        <v>#DIV/0!</v>
      </c>
      <c r="AG45" s="28"/>
      <c r="AH45" s="28"/>
      <c r="AI45" s="28" t="e">
        <f>(1/Table4[[#This Row],[nm4]])*10^7</f>
        <v>#DIV/0!</v>
      </c>
      <c r="AJ45" s="28"/>
      <c r="AK45" s="28" t="e">
        <f>(1/Table4[[#This Row],[nm14]])*10^7</f>
        <v>#DIV/0!</v>
      </c>
      <c r="AL45" s="28"/>
      <c r="AM45" s="28"/>
      <c r="AN45" s="28" t="e">
        <f>(1/Table4[[#This Row],[nm28]])*10^7</f>
        <v>#DIV/0!</v>
      </c>
      <c r="AO45" s="28"/>
      <c r="AP45" s="28" t="e">
        <f>(1/Table4[[#This Row],[nm10]])*10^7</f>
        <v>#DIV/0!</v>
      </c>
      <c r="AQ45" s="28"/>
      <c r="AR45" s="28" t="e">
        <f>(1/Table4[[#This Row],[nm11]])*10^7</f>
        <v>#DIV/0!</v>
      </c>
      <c r="AS45" s="28"/>
      <c r="AT45" s="28">
        <f>Table4[[#This Row],[Φ]]*100</f>
        <v>0</v>
      </c>
      <c r="AU45" s="28"/>
      <c r="AV45" s="28"/>
    </row>
    <row r="46" spans="1:48" ht="16.5" x14ac:dyDescent="0.3">
      <c r="A46" s="30" t="s">
        <v>705</v>
      </c>
      <c r="B46" s="29" t="str">
        <f>VLOOKUP(Table4[[#This Row],[Marker name]],BaseInfos_Table[],3,FALSE)</f>
        <v>n.a.</v>
      </c>
      <c r="C46" s="27" t="str">
        <f>VLOOKUP(Table4[[#This Row],[Marker name]],BaseInfos_Table[#All],6,FALSE)</f>
        <v>IR, UV-Vis, XRF</v>
      </c>
      <c r="G46" s="41" t="e">
        <f>(1*10^7)/Table4[[#This Row],[cm-1]]</f>
        <v>#DIV/0!</v>
      </c>
      <c r="I46" s="41" t="e">
        <f>(1*10^7)/Table4[[#This Row],[cm-2]]</f>
        <v>#DIV/0!</v>
      </c>
      <c r="K46" s="41" t="e">
        <f>(1*10^7)/Table4[[#This Row],[cm-3]]</f>
        <v>#DIV/0!</v>
      </c>
      <c r="R46" s="41" t="e">
        <f>(1*10^7)/Table4[[#This Row],[nm2]]</f>
        <v>#DIV/0!</v>
      </c>
      <c r="T46" s="41" t="e">
        <f>(1*10^7)/Table4[[#This Row],[nm12]]</f>
        <v>#DIV/0!</v>
      </c>
      <c r="Z46" s="28"/>
      <c r="AA46" s="28"/>
      <c r="AB46" s="28" t="e">
        <f>(1/Table4[[#This Row],[nm5]])*10^7</f>
        <v>#DIV/0!</v>
      </c>
      <c r="AC46" s="28"/>
      <c r="AD46" s="28" t="e">
        <f>(1/Table4[[#This Row],[nm8]])*10^7</f>
        <v>#DIV/0!</v>
      </c>
      <c r="AE46" s="28"/>
      <c r="AF46" s="28" t="e">
        <f>(1/Table4[[#This Row],[nm9]])*10^7</f>
        <v>#DIV/0!</v>
      </c>
      <c r="AG46" s="28"/>
      <c r="AH46" s="28"/>
      <c r="AI46" s="28" t="e">
        <f>(1/Table4[[#This Row],[nm4]])*10^7</f>
        <v>#DIV/0!</v>
      </c>
      <c r="AJ46" s="28"/>
      <c r="AK46" s="28" t="e">
        <f>(1/Table4[[#This Row],[nm14]])*10^7</f>
        <v>#DIV/0!</v>
      </c>
      <c r="AL46" s="28"/>
      <c r="AM46" s="28"/>
      <c r="AN46" s="28" t="e">
        <f>(1/Table4[[#This Row],[nm28]])*10^7</f>
        <v>#DIV/0!</v>
      </c>
      <c r="AO46" s="28"/>
      <c r="AP46" s="28" t="e">
        <f>(1/Table4[[#This Row],[nm10]])*10^7</f>
        <v>#DIV/0!</v>
      </c>
      <c r="AQ46" s="28"/>
      <c r="AR46" s="28" t="e">
        <f>(1/Table4[[#This Row],[nm11]])*10^7</f>
        <v>#DIV/0!</v>
      </c>
      <c r="AS46" s="28"/>
      <c r="AT46" s="28">
        <f>Table4[[#This Row],[Φ]]*100</f>
        <v>0</v>
      </c>
      <c r="AU46" s="28"/>
      <c r="AV46" s="28"/>
    </row>
    <row r="47" spans="1:48" x14ac:dyDescent="0.3">
      <c r="A47" s="27" t="s">
        <v>706</v>
      </c>
      <c r="B47" s="29" t="str">
        <f>VLOOKUP(Table4[[#This Row],[Marker name]],BaseInfos_Table[],3,FALSE)</f>
        <v>12036-44-1</v>
      </c>
      <c r="C47" s="27" t="str">
        <f>VLOOKUP(Table4[[#This Row],[Marker name]],BaseInfos_Table[#All],6,FALSE)</f>
        <v>XRF, UV-Vis</v>
      </c>
      <c r="D47" s="41" t="s">
        <v>378</v>
      </c>
      <c r="F47" s="41">
        <v>3</v>
      </c>
      <c r="G47" s="41">
        <f>(1*10^7)/Table4[[#This Row],[cm-1]]</f>
        <v>6622.5165562913908</v>
      </c>
      <c r="H47" s="41">
        <v>1510</v>
      </c>
      <c r="I47" s="41">
        <f>(1*10^7)/Table4[[#This Row],[cm-2]]</f>
        <v>17241.379310344826</v>
      </c>
      <c r="J47" s="41">
        <v>580</v>
      </c>
      <c r="K47" s="41">
        <f>(1*10^7)/Table4[[#This Row],[cm-3]]</f>
        <v>25000</v>
      </c>
      <c r="L47" s="41">
        <v>400</v>
      </c>
      <c r="M47" s="44" t="s">
        <v>423</v>
      </c>
      <c r="R47" s="41" t="e">
        <f>(1*10^7)/Table4[[#This Row],[nm2]]</f>
        <v>#DIV/0!</v>
      </c>
      <c r="T47" s="41" t="e">
        <f>(1*10^7)/Table4[[#This Row],[nm12]]</f>
        <v>#DIV/0!</v>
      </c>
      <c r="Z47" s="28"/>
      <c r="AA47" s="28"/>
      <c r="AB47" s="28" t="e">
        <f>(1/Table4[[#This Row],[nm5]])*10^7</f>
        <v>#DIV/0!</v>
      </c>
      <c r="AC47" s="28"/>
      <c r="AD47" s="28" t="e">
        <f>(1/Table4[[#This Row],[nm8]])*10^7</f>
        <v>#DIV/0!</v>
      </c>
      <c r="AE47" s="28"/>
      <c r="AF47" s="28" t="e">
        <f>(1/Table4[[#This Row],[nm9]])*10^7</f>
        <v>#DIV/0!</v>
      </c>
      <c r="AG47" s="28"/>
      <c r="AH47" s="28"/>
      <c r="AI47" s="28" t="e">
        <f>(1/Table4[[#This Row],[nm4]])*10^7</f>
        <v>#DIV/0!</v>
      </c>
      <c r="AJ47" s="28"/>
      <c r="AK47" s="28" t="e">
        <f>(1/Table4[[#This Row],[nm14]])*10^7</f>
        <v>#DIV/0!</v>
      </c>
      <c r="AL47" s="28"/>
      <c r="AM47" s="28"/>
      <c r="AN47" s="28" t="e">
        <f>(1/Table4[[#This Row],[nm28]])*10^7</f>
        <v>#DIV/0!</v>
      </c>
      <c r="AO47" s="28"/>
      <c r="AP47" s="28" t="e">
        <f>(1/Table4[[#This Row],[nm10]])*10^7</f>
        <v>#DIV/0!</v>
      </c>
      <c r="AQ47" s="28"/>
      <c r="AR47" s="28" t="e">
        <f>(1/Table4[[#This Row],[nm11]])*10^7</f>
        <v>#DIV/0!</v>
      </c>
      <c r="AS47" s="28"/>
      <c r="AT47" s="28">
        <f>Table4[[#This Row],[Φ]]*100</f>
        <v>0</v>
      </c>
      <c r="AU47" s="28"/>
      <c r="AV47" s="28"/>
    </row>
    <row r="48" spans="1:48" x14ac:dyDescent="0.3">
      <c r="A48" s="27" t="s">
        <v>707</v>
      </c>
      <c r="B48" s="29" t="str">
        <f>VLOOKUP(Table4[[#This Row],[Marker name]],BaseInfos_Table[],3,FALSE)</f>
        <v>12037-01-3</v>
      </c>
      <c r="C48" s="27" t="str">
        <f>VLOOKUP(Table4[[#This Row],[Marker name]],BaseInfos_Table[#All],6,FALSE)</f>
        <v>IR , XRF ,UV-Vis</v>
      </c>
      <c r="G48" s="41" t="e">
        <f>(1*10^7)/Table4[[#This Row],[cm-1]]</f>
        <v>#DIV/0!</v>
      </c>
      <c r="I48" s="41" t="e">
        <f>(1*10^7)/Table4[[#This Row],[cm-2]]</f>
        <v>#DIV/0!</v>
      </c>
      <c r="K48" s="41" t="e">
        <f>(1*10^7)/Table4[[#This Row],[cm-3]]</f>
        <v>#DIV/0!</v>
      </c>
      <c r="R48" s="41" t="e">
        <f>(1*10^7)/Table4[[#This Row],[nm2]]</f>
        <v>#DIV/0!</v>
      </c>
      <c r="T48" s="41" t="e">
        <f>(1*10^7)/Table4[[#This Row],[nm12]]</f>
        <v>#DIV/0!</v>
      </c>
      <c r="Z48" s="28"/>
      <c r="AA48" s="28"/>
      <c r="AB48" s="28" t="e">
        <f>(1/Table4[[#This Row],[nm5]])*10^7</f>
        <v>#DIV/0!</v>
      </c>
      <c r="AC48" s="28"/>
      <c r="AD48" s="28" t="e">
        <f>(1/Table4[[#This Row],[nm8]])*10^7</f>
        <v>#DIV/0!</v>
      </c>
      <c r="AE48" s="28"/>
      <c r="AF48" s="28" t="e">
        <f>(1/Table4[[#This Row],[nm9]])*10^7</f>
        <v>#DIV/0!</v>
      </c>
      <c r="AG48" s="28"/>
      <c r="AH48" s="28"/>
      <c r="AI48" s="28" t="e">
        <f>(1/Table4[[#This Row],[nm4]])*10^7</f>
        <v>#DIV/0!</v>
      </c>
      <c r="AJ48" s="28"/>
      <c r="AK48" s="28" t="e">
        <f>(1/Table4[[#This Row],[nm14]])*10^7</f>
        <v>#DIV/0!</v>
      </c>
      <c r="AL48" s="28"/>
      <c r="AM48" s="28"/>
      <c r="AN48" s="28" t="e">
        <f>(1/Table4[[#This Row],[nm28]])*10^7</f>
        <v>#DIV/0!</v>
      </c>
      <c r="AO48" s="28"/>
      <c r="AP48" s="28" t="e">
        <f>(1/Table4[[#This Row],[nm10]])*10^7</f>
        <v>#DIV/0!</v>
      </c>
      <c r="AQ48" s="28"/>
      <c r="AR48" s="28" t="e">
        <f>(1/Table4[[#This Row],[nm11]])*10^7</f>
        <v>#DIV/0!</v>
      </c>
      <c r="AS48" s="28"/>
      <c r="AT48" s="28">
        <f>Table4[[#This Row],[Φ]]*100</f>
        <v>0</v>
      </c>
      <c r="AU48" s="28"/>
      <c r="AV48" s="28"/>
    </row>
    <row r="49" spans="1:48" x14ac:dyDescent="0.3">
      <c r="A49" s="27" t="s">
        <v>708</v>
      </c>
      <c r="B49" s="29" t="str">
        <f>VLOOKUP(Table4[[#This Row],[Marker name]],BaseInfos_Table[],3,FALSE)</f>
        <v>12036-41-8</v>
      </c>
      <c r="C49" s="27" t="str">
        <f>VLOOKUP(Table4[[#This Row],[Marker name]],BaseInfos_Table[#All],6,FALSE)</f>
        <v>IR , XRF ,UV-Vis</v>
      </c>
      <c r="G49" s="41" t="e">
        <f>(1*10^7)/Table4[[#This Row],[cm-1]]</f>
        <v>#DIV/0!</v>
      </c>
      <c r="I49" s="41" t="e">
        <f>(1*10^7)/Table4[[#This Row],[cm-2]]</f>
        <v>#DIV/0!</v>
      </c>
      <c r="K49" s="41" t="e">
        <f>(1*10^7)/Table4[[#This Row],[cm-3]]</f>
        <v>#DIV/0!</v>
      </c>
      <c r="R49" s="41" t="e">
        <f>(1*10^7)/Table4[[#This Row],[nm2]]</f>
        <v>#DIV/0!</v>
      </c>
      <c r="T49" s="41" t="e">
        <f>(1*10^7)/Table4[[#This Row],[nm12]]</f>
        <v>#DIV/0!</v>
      </c>
      <c r="Z49" s="28"/>
      <c r="AA49" s="28"/>
      <c r="AB49" s="28" t="e">
        <f>(1/Table4[[#This Row],[nm5]])*10^7</f>
        <v>#DIV/0!</v>
      </c>
      <c r="AC49" s="28"/>
      <c r="AD49" s="28" t="e">
        <f>(1/Table4[[#This Row],[nm8]])*10^7</f>
        <v>#DIV/0!</v>
      </c>
      <c r="AE49" s="28"/>
      <c r="AF49" s="28" t="e">
        <f>(1/Table4[[#This Row],[nm9]])*10^7</f>
        <v>#DIV/0!</v>
      </c>
      <c r="AG49" s="28"/>
      <c r="AH49" s="28"/>
      <c r="AI49" s="28" t="e">
        <f>(1/Table4[[#This Row],[nm4]])*10^7</f>
        <v>#DIV/0!</v>
      </c>
      <c r="AJ49" s="28"/>
      <c r="AK49" s="28" t="e">
        <f>(1/Table4[[#This Row],[nm14]])*10^7</f>
        <v>#DIV/0!</v>
      </c>
      <c r="AL49" s="28"/>
      <c r="AM49" s="28"/>
      <c r="AN49" s="28" t="e">
        <f>(1/Table4[[#This Row],[nm28]])*10^7</f>
        <v>#DIV/0!</v>
      </c>
      <c r="AO49" s="28"/>
      <c r="AP49" s="28" t="e">
        <f>(1/Table4[[#This Row],[nm10]])*10^7</f>
        <v>#DIV/0!</v>
      </c>
      <c r="AQ49" s="28"/>
      <c r="AR49" s="28" t="e">
        <f>(1/Table4[[#This Row],[nm11]])*10^7</f>
        <v>#DIV/0!</v>
      </c>
      <c r="AS49" s="28"/>
      <c r="AT49" s="28">
        <f>Table4[[#This Row],[Φ]]*100</f>
        <v>0</v>
      </c>
      <c r="AU49" s="28"/>
      <c r="AV49" s="28"/>
    </row>
    <row r="50" spans="1:48" x14ac:dyDescent="0.3">
      <c r="A50" s="27" t="s">
        <v>434</v>
      </c>
      <c r="B50" s="29" t="str">
        <f>VLOOKUP(Table4[[#This Row],[Marker name]],BaseInfos_Table[],3,FALSE)</f>
        <v>578-95-0</v>
      </c>
      <c r="C50" s="27" t="str">
        <f>VLOOKUP(Table4[[#This Row],[Marker name]],BaseInfos_Table[#All],6,FALSE)</f>
        <v>UV-Vis</v>
      </c>
      <c r="D50" s="41" t="s">
        <v>378</v>
      </c>
      <c r="F50" s="41">
        <v>3</v>
      </c>
      <c r="G50" s="41">
        <f>(1*10^7)/Table4[[#This Row],[cm-1]]</f>
        <v>3401.3605442176872</v>
      </c>
      <c r="H50" s="41">
        <v>2940</v>
      </c>
      <c r="I50" s="41">
        <f>(1*10^7)/Table4[[#This Row],[cm-2]]</f>
        <v>6802.7210884353744</v>
      </c>
      <c r="J50" s="41">
        <v>1470</v>
      </c>
      <c r="K50" s="41">
        <f>(1*10^7)/Table4[[#This Row],[cm-3]]</f>
        <v>13513.513513513513</v>
      </c>
      <c r="L50" s="41">
        <v>740</v>
      </c>
      <c r="R50" s="41" t="e">
        <f>(1*10^7)/Table4[[#This Row],[nm2]]</f>
        <v>#DIV/0!</v>
      </c>
      <c r="T50" s="41" t="e">
        <f>(1*10^7)/Table4[[#This Row],[nm12]]</f>
        <v>#DIV/0!</v>
      </c>
      <c r="Z50" s="28"/>
      <c r="AA50" s="28"/>
      <c r="AB50" s="28" t="e">
        <f>(1/Table4[[#This Row],[nm5]])*10^7</f>
        <v>#DIV/0!</v>
      </c>
      <c r="AC50" s="28"/>
      <c r="AD50" s="28" t="e">
        <f>(1/Table4[[#This Row],[nm8]])*10^7</f>
        <v>#DIV/0!</v>
      </c>
      <c r="AE50" s="28"/>
      <c r="AF50" s="28" t="e">
        <f>(1/Table4[[#This Row],[nm9]])*10^7</f>
        <v>#DIV/0!</v>
      </c>
      <c r="AG50" s="28"/>
      <c r="AH50" s="28"/>
      <c r="AI50" s="28" t="e">
        <f>(1/Table4[[#This Row],[nm4]])*10^7</f>
        <v>#DIV/0!</v>
      </c>
      <c r="AJ50" s="28"/>
      <c r="AK50" s="28" t="e">
        <f>(1/Table4[[#This Row],[nm14]])*10^7</f>
        <v>#DIV/0!</v>
      </c>
      <c r="AL50" s="28"/>
      <c r="AM50" s="28"/>
      <c r="AN50" s="28" t="e">
        <f>(1/Table4[[#This Row],[nm28]])*10^7</f>
        <v>#DIV/0!</v>
      </c>
      <c r="AO50" s="28"/>
      <c r="AP50" s="28" t="e">
        <f>(1/Table4[[#This Row],[nm10]])*10^7</f>
        <v>#DIV/0!</v>
      </c>
      <c r="AQ50" s="28"/>
      <c r="AR50" s="28" t="e">
        <f>(1/Table4[[#This Row],[nm11]])*10^7</f>
        <v>#DIV/0!</v>
      </c>
      <c r="AS50" s="28"/>
      <c r="AT50" s="28">
        <f>Table4[[#This Row],[Φ]]*100</f>
        <v>0</v>
      </c>
      <c r="AU50" s="28"/>
      <c r="AV50" s="28"/>
    </row>
    <row r="51" spans="1:48" x14ac:dyDescent="0.3">
      <c r="A51" s="27" t="s">
        <v>439</v>
      </c>
      <c r="B51" s="29" t="str">
        <f>VLOOKUP(Table4[[#This Row],[Marker name]],BaseInfos_Table[],3,FALSE)</f>
        <v>38609-97-1</v>
      </c>
      <c r="C51" s="27" t="str">
        <f>VLOOKUP(Table4[[#This Row],[Marker name]],BaseInfos_Table[#All],6,FALSE)</f>
        <v>UV-Vis</v>
      </c>
      <c r="G51" s="41" t="e">
        <f>(1*10^7)/Table4[[#This Row],[cm-1]]</f>
        <v>#DIV/0!</v>
      </c>
      <c r="I51" s="41" t="e">
        <f>(1*10^7)/Table4[[#This Row],[cm-2]]</f>
        <v>#DIV/0!</v>
      </c>
      <c r="K51" s="41" t="e">
        <f>(1*10^7)/Table4[[#This Row],[cm-3]]</f>
        <v>#DIV/0!</v>
      </c>
      <c r="R51" s="41" t="e">
        <f>(1*10^7)/Table4[[#This Row],[nm2]]</f>
        <v>#DIV/0!</v>
      </c>
      <c r="T51" s="41" t="e">
        <f>(1*10^7)/Table4[[#This Row],[nm12]]</f>
        <v>#DIV/0!</v>
      </c>
      <c r="Z51" s="28"/>
      <c r="AA51" s="28"/>
      <c r="AB51" s="28" t="e">
        <f>(1/Table4[[#This Row],[nm5]])*10^7</f>
        <v>#DIV/0!</v>
      </c>
      <c r="AC51" s="28"/>
      <c r="AD51" s="28" t="e">
        <f>(1/Table4[[#This Row],[nm8]])*10^7</f>
        <v>#DIV/0!</v>
      </c>
      <c r="AE51" s="28"/>
      <c r="AF51" s="28" t="e">
        <f>(1/Table4[[#This Row],[nm9]])*10^7</f>
        <v>#DIV/0!</v>
      </c>
      <c r="AG51" s="28"/>
      <c r="AH51" s="28"/>
      <c r="AI51" s="28" t="e">
        <f>(1/Table4[[#This Row],[nm4]])*10^7</f>
        <v>#DIV/0!</v>
      </c>
      <c r="AJ51" s="28"/>
      <c r="AK51" s="28" t="e">
        <f>(1/Table4[[#This Row],[nm14]])*10^7</f>
        <v>#DIV/0!</v>
      </c>
      <c r="AL51" s="28"/>
      <c r="AM51" s="28"/>
      <c r="AN51" s="28" t="e">
        <f>(1/Table4[[#This Row],[nm28]])*10^7</f>
        <v>#DIV/0!</v>
      </c>
      <c r="AO51" s="28"/>
      <c r="AP51" s="28" t="e">
        <f>(1/Table4[[#This Row],[nm10]])*10^7</f>
        <v>#DIV/0!</v>
      </c>
      <c r="AQ51" s="28"/>
      <c r="AR51" s="28" t="e">
        <f>(1/Table4[[#This Row],[nm11]])*10^7</f>
        <v>#DIV/0!</v>
      </c>
      <c r="AS51" s="28"/>
      <c r="AT51" s="28">
        <f>Table4[[#This Row],[Φ]]*100</f>
        <v>0</v>
      </c>
      <c r="AU51" s="28"/>
      <c r="AV51" s="28"/>
    </row>
    <row r="52" spans="1:48" x14ac:dyDescent="0.3">
      <c r="A52" s="27" t="s">
        <v>437</v>
      </c>
      <c r="B52" s="29" t="str">
        <f>VLOOKUP(Table4[[#This Row],[Marker name]],BaseInfos_Table[],3,FALSE)</f>
        <v>n.a.</v>
      </c>
      <c r="C52" s="27" t="str">
        <f>VLOOKUP(Table4[[#This Row],[Marker name]],BaseInfos_Table[#All],6,FALSE)</f>
        <v>UV-Vis</v>
      </c>
      <c r="G52" s="41" t="e">
        <f>(1*10^7)/Table4[[#This Row],[cm-1]]</f>
        <v>#DIV/0!</v>
      </c>
      <c r="I52" s="41" t="e">
        <f>(1*10^7)/Table4[[#This Row],[cm-2]]</f>
        <v>#DIV/0!</v>
      </c>
      <c r="K52" s="41" t="e">
        <f>(1*10^7)/Table4[[#This Row],[cm-3]]</f>
        <v>#DIV/0!</v>
      </c>
      <c r="R52" s="41" t="e">
        <f>(1*10^7)/Table4[[#This Row],[nm2]]</f>
        <v>#DIV/0!</v>
      </c>
      <c r="T52" s="41" t="e">
        <f>(1*10^7)/Table4[[#This Row],[nm12]]</f>
        <v>#DIV/0!</v>
      </c>
      <c r="Z52" s="28"/>
      <c r="AA52" s="28"/>
      <c r="AB52" s="28" t="e">
        <f>(1/Table4[[#This Row],[nm5]])*10^7</f>
        <v>#DIV/0!</v>
      </c>
      <c r="AC52" s="28"/>
      <c r="AD52" s="28" t="e">
        <f>(1/Table4[[#This Row],[nm8]])*10^7</f>
        <v>#DIV/0!</v>
      </c>
      <c r="AE52" s="28"/>
      <c r="AF52" s="28" t="e">
        <f>(1/Table4[[#This Row],[nm9]])*10^7</f>
        <v>#DIV/0!</v>
      </c>
      <c r="AG52" s="28"/>
      <c r="AH52" s="28"/>
      <c r="AI52" s="28" t="e">
        <f>(1/Table4[[#This Row],[nm4]])*10^7</f>
        <v>#DIV/0!</v>
      </c>
      <c r="AJ52" s="28"/>
      <c r="AK52" s="28" t="e">
        <f>(1/Table4[[#This Row],[nm14]])*10^7</f>
        <v>#DIV/0!</v>
      </c>
      <c r="AL52" s="28"/>
      <c r="AM52" s="28"/>
      <c r="AN52" s="28" t="e">
        <f>(1/Table4[[#This Row],[nm28]])*10^7</f>
        <v>#DIV/0!</v>
      </c>
      <c r="AO52" s="28"/>
      <c r="AP52" s="28" t="e">
        <f>(1/Table4[[#This Row],[nm10]])*10^7</f>
        <v>#DIV/0!</v>
      </c>
      <c r="AQ52" s="28"/>
      <c r="AR52" s="28" t="e">
        <f>(1/Table4[[#This Row],[nm11]])*10^7</f>
        <v>#DIV/0!</v>
      </c>
      <c r="AS52" s="28"/>
      <c r="AT52" s="28">
        <f>Table4[[#This Row],[Φ]]*100</f>
        <v>0</v>
      </c>
      <c r="AU52" s="28"/>
      <c r="AV52" s="28"/>
    </row>
    <row r="53" spans="1:48" x14ac:dyDescent="0.3">
      <c r="A53" s="27" t="s">
        <v>438</v>
      </c>
      <c r="B53" s="29" t="str">
        <f>VLOOKUP(Table4[[#This Row],[Marker name]],BaseInfos_Table[],3,FALSE)</f>
        <v>n.a.</v>
      </c>
      <c r="C53" s="27" t="str">
        <f>VLOOKUP(Table4[[#This Row],[Marker name]],BaseInfos_Table[#All],6,FALSE)</f>
        <v>UV-Vis</v>
      </c>
      <c r="G53" s="41" t="e">
        <f>(1*10^7)/Table4[[#This Row],[cm-1]]</f>
        <v>#DIV/0!</v>
      </c>
      <c r="I53" s="41" t="e">
        <f>(1*10^7)/Table4[[#This Row],[cm-2]]</f>
        <v>#DIV/0!</v>
      </c>
      <c r="K53" s="41" t="e">
        <f>(1*10^7)/Table4[[#This Row],[cm-3]]</f>
        <v>#DIV/0!</v>
      </c>
      <c r="R53" s="41" t="e">
        <f>(1*10^7)/Table4[[#This Row],[nm2]]</f>
        <v>#DIV/0!</v>
      </c>
      <c r="T53" s="41" t="e">
        <f>(1*10^7)/Table4[[#This Row],[nm12]]</f>
        <v>#DIV/0!</v>
      </c>
      <c r="Z53" s="28"/>
      <c r="AA53" s="28"/>
      <c r="AB53" s="28" t="e">
        <f>(1/Table4[[#This Row],[nm5]])*10^7</f>
        <v>#DIV/0!</v>
      </c>
      <c r="AC53" s="28"/>
      <c r="AD53" s="28" t="e">
        <f>(1/Table4[[#This Row],[nm8]])*10^7</f>
        <v>#DIV/0!</v>
      </c>
      <c r="AE53" s="28"/>
      <c r="AF53" s="28" t="e">
        <f>(1/Table4[[#This Row],[nm9]])*10^7</f>
        <v>#DIV/0!</v>
      </c>
      <c r="AG53" s="28"/>
      <c r="AH53" s="28"/>
      <c r="AI53" s="28" t="e">
        <f>(1/Table4[[#This Row],[nm4]])*10^7</f>
        <v>#DIV/0!</v>
      </c>
      <c r="AJ53" s="28"/>
      <c r="AK53" s="28" t="e">
        <f>(1/Table4[[#This Row],[nm14]])*10^7</f>
        <v>#DIV/0!</v>
      </c>
      <c r="AL53" s="28"/>
      <c r="AM53" s="28"/>
      <c r="AN53" s="28" t="e">
        <f>(1/Table4[[#This Row],[nm28]])*10^7</f>
        <v>#DIV/0!</v>
      </c>
      <c r="AO53" s="28"/>
      <c r="AP53" s="28" t="e">
        <f>(1/Table4[[#This Row],[nm10]])*10^7</f>
        <v>#DIV/0!</v>
      </c>
      <c r="AQ53" s="28"/>
      <c r="AR53" s="28" t="e">
        <f>(1/Table4[[#This Row],[nm11]])*10^7</f>
        <v>#DIV/0!</v>
      </c>
      <c r="AS53" s="28"/>
      <c r="AT53" s="28">
        <f>Table4[[#This Row],[Φ]]*100</f>
        <v>0</v>
      </c>
      <c r="AU53" s="28"/>
      <c r="AV53" s="28"/>
    </row>
    <row r="54" spans="1:48" x14ac:dyDescent="0.3">
      <c r="A54" s="27" t="s">
        <v>442</v>
      </c>
      <c r="B54" s="29" t="str">
        <f>VLOOKUP(Table4[[#This Row],[Marker name]],BaseInfos_Table[],3,FALSE)</f>
        <v>n.a.</v>
      </c>
      <c r="C54" s="27" t="str">
        <f>VLOOKUP(Table4[[#This Row],[Marker name]],BaseInfos_Table[#All],6,FALSE)</f>
        <v>UV-Vis</v>
      </c>
      <c r="G54" s="41" t="e">
        <f>(1*10^7)/Table4[[#This Row],[cm-1]]</f>
        <v>#DIV/0!</v>
      </c>
      <c r="I54" s="41" t="e">
        <f>(1*10^7)/Table4[[#This Row],[cm-2]]</f>
        <v>#DIV/0!</v>
      </c>
      <c r="K54" s="41" t="e">
        <f>(1*10^7)/Table4[[#This Row],[cm-3]]</f>
        <v>#DIV/0!</v>
      </c>
      <c r="R54" s="41" t="e">
        <f>(1*10^7)/Table4[[#This Row],[nm2]]</f>
        <v>#DIV/0!</v>
      </c>
      <c r="T54" s="41" t="e">
        <f>(1*10^7)/Table4[[#This Row],[nm12]]</f>
        <v>#DIV/0!</v>
      </c>
      <c r="Z54" s="28"/>
      <c r="AA54" s="28"/>
      <c r="AB54" s="28" t="e">
        <f>(1/Table4[[#This Row],[nm5]])*10^7</f>
        <v>#DIV/0!</v>
      </c>
      <c r="AC54" s="28"/>
      <c r="AD54" s="28" t="e">
        <f>(1/Table4[[#This Row],[nm8]])*10^7</f>
        <v>#DIV/0!</v>
      </c>
      <c r="AE54" s="28"/>
      <c r="AF54" s="28" t="e">
        <f>(1/Table4[[#This Row],[nm9]])*10^7</f>
        <v>#DIV/0!</v>
      </c>
      <c r="AG54" s="28"/>
      <c r="AH54" s="28"/>
      <c r="AI54" s="28" t="e">
        <f>(1/Table4[[#This Row],[nm4]])*10^7</f>
        <v>#DIV/0!</v>
      </c>
      <c r="AJ54" s="28"/>
      <c r="AK54" s="28" t="e">
        <f>(1/Table4[[#This Row],[nm14]])*10^7</f>
        <v>#DIV/0!</v>
      </c>
      <c r="AL54" s="28"/>
      <c r="AM54" s="28"/>
      <c r="AN54" s="28" t="e">
        <f>(1/Table4[[#This Row],[nm28]])*10^7</f>
        <v>#DIV/0!</v>
      </c>
      <c r="AO54" s="28"/>
      <c r="AP54" s="28" t="e">
        <f>(1/Table4[[#This Row],[nm10]])*10^7</f>
        <v>#DIV/0!</v>
      </c>
      <c r="AQ54" s="28"/>
      <c r="AR54" s="28" t="e">
        <f>(1/Table4[[#This Row],[nm11]])*10^7</f>
        <v>#DIV/0!</v>
      </c>
      <c r="AS54" s="28"/>
      <c r="AT54" s="28">
        <f>Table4[[#This Row],[Φ]]*100</f>
        <v>0</v>
      </c>
      <c r="AU54" s="28"/>
      <c r="AV54" s="28"/>
    </row>
    <row r="55" spans="1:48" x14ac:dyDescent="0.3">
      <c r="A55" s="27" t="s">
        <v>443</v>
      </c>
      <c r="B55" s="29" t="str">
        <f>VLOOKUP(Table4[[#This Row],[Marker name]],BaseInfos_Table[],3,FALSE)</f>
        <v>n.a.</v>
      </c>
      <c r="C55" s="27" t="str">
        <f>VLOOKUP(Table4[[#This Row],[Marker name]],BaseInfos_Table[#All],6,FALSE)</f>
        <v>UV-Vis</v>
      </c>
      <c r="G55" s="41" t="e">
        <f>(1*10^7)/Table4[[#This Row],[cm-1]]</f>
        <v>#DIV/0!</v>
      </c>
      <c r="I55" s="41" t="e">
        <f>(1*10^7)/Table4[[#This Row],[cm-2]]</f>
        <v>#DIV/0!</v>
      </c>
      <c r="K55" s="41" t="e">
        <f>(1*10^7)/Table4[[#This Row],[cm-3]]</f>
        <v>#DIV/0!</v>
      </c>
      <c r="R55" s="41" t="e">
        <f>(1*10^7)/Table4[[#This Row],[nm2]]</f>
        <v>#DIV/0!</v>
      </c>
      <c r="T55" s="41" t="e">
        <f>(1*10^7)/Table4[[#This Row],[nm12]]</f>
        <v>#DIV/0!</v>
      </c>
      <c r="Z55" s="28"/>
      <c r="AA55" s="28"/>
      <c r="AB55" s="28" t="e">
        <f>(1/Table4[[#This Row],[nm5]])*10^7</f>
        <v>#DIV/0!</v>
      </c>
      <c r="AC55" s="28"/>
      <c r="AD55" s="28" t="e">
        <f>(1/Table4[[#This Row],[nm8]])*10^7</f>
        <v>#DIV/0!</v>
      </c>
      <c r="AE55" s="28"/>
      <c r="AF55" s="28" t="e">
        <f>(1/Table4[[#This Row],[nm9]])*10^7</f>
        <v>#DIV/0!</v>
      </c>
      <c r="AG55" s="28"/>
      <c r="AH55" s="28"/>
      <c r="AI55" s="28" t="e">
        <f>(1/Table4[[#This Row],[nm4]])*10^7</f>
        <v>#DIV/0!</v>
      </c>
      <c r="AJ55" s="28"/>
      <c r="AK55" s="28" t="e">
        <f>(1/Table4[[#This Row],[nm14]])*10^7</f>
        <v>#DIV/0!</v>
      </c>
      <c r="AL55" s="28"/>
      <c r="AM55" s="28"/>
      <c r="AN55" s="28" t="e">
        <f>(1/Table4[[#This Row],[nm28]])*10^7</f>
        <v>#DIV/0!</v>
      </c>
      <c r="AO55" s="28"/>
      <c r="AP55" s="28" t="e">
        <f>(1/Table4[[#This Row],[nm10]])*10^7</f>
        <v>#DIV/0!</v>
      </c>
      <c r="AQ55" s="28"/>
      <c r="AR55" s="28" t="e">
        <f>(1/Table4[[#This Row],[nm11]])*10^7</f>
        <v>#DIV/0!</v>
      </c>
      <c r="AS55" s="28"/>
      <c r="AT55" s="28">
        <f>Table4[[#This Row],[Φ]]*100</f>
        <v>0</v>
      </c>
      <c r="AU55" s="28"/>
      <c r="AV55" s="28"/>
    </row>
    <row r="56" spans="1:48" x14ac:dyDescent="0.3">
      <c r="A56" s="27" t="s">
        <v>444</v>
      </c>
      <c r="B56" s="29" t="str">
        <f>VLOOKUP(Table4[[#This Row],[Marker name]],BaseInfos_Table[],3,FALSE)</f>
        <v>n.a.</v>
      </c>
      <c r="C56" s="27" t="str">
        <f>VLOOKUP(Table4[[#This Row],[Marker name]],BaseInfos_Table[#All],6,FALSE)</f>
        <v>UV-Vis</v>
      </c>
      <c r="G56" s="41" t="e">
        <f>(1*10^7)/Table4[[#This Row],[cm-1]]</f>
        <v>#DIV/0!</v>
      </c>
      <c r="I56" s="41" t="e">
        <f>(1*10^7)/Table4[[#This Row],[cm-2]]</f>
        <v>#DIV/0!</v>
      </c>
      <c r="K56" s="41" t="e">
        <f>(1*10^7)/Table4[[#This Row],[cm-3]]</f>
        <v>#DIV/0!</v>
      </c>
      <c r="R56" s="41" t="e">
        <f>(1*10^7)/Table4[[#This Row],[nm2]]</f>
        <v>#DIV/0!</v>
      </c>
      <c r="T56" s="41" t="e">
        <f>(1*10^7)/Table4[[#This Row],[nm12]]</f>
        <v>#DIV/0!</v>
      </c>
      <c r="Z56" s="28"/>
      <c r="AA56" s="28"/>
      <c r="AB56" s="28" t="e">
        <f>(1/Table4[[#This Row],[nm5]])*10^7</f>
        <v>#DIV/0!</v>
      </c>
      <c r="AC56" s="28"/>
      <c r="AD56" s="28" t="e">
        <f>(1/Table4[[#This Row],[nm8]])*10^7</f>
        <v>#DIV/0!</v>
      </c>
      <c r="AE56" s="28"/>
      <c r="AF56" s="28" t="e">
        <f>(1/Table4[[#This Row],[nm9]])*10^7</f>
        <v>#DIV/0!</v>
      </c>
      <c r="AG56" s="28"/>
      <c r="AH56" s="28"/>
      <c r="AI56" s="28" t="e">
        <f>(1/Table4[[#This Row],[nm4]])*10^7</f>
        <v>#DIV/0!</v>
      </c>
      <c r="AJ56" s="28"/>
      <c r="AK56" s="28" t="e">
        <f>(1/Table4[[#This Row],[nm14]])*10^7</f>
        <v>#DIV/0!</v>
      </c>
      <c r="AL56" s="28"/>
      <c r="AM56" s="28"/>
      <c r="AN56" s="28" t="e">
        <f>(1/Table4[[#This Row],[nm28]])*10^7</f>
        <v>#DIV/0!</v>
      </c>
      <c r="AO56" s="28"/>
      <c r="AP56" s="28" t="e">
        <f>(1/Table4[[#This Row],[nm10]])*10^7</f>
        <v>#DIV/0!</v>
      </c>
      <c r="AQ56" s="28"/>
      <c r="AR56" s="28" t="e">
        <f>(1/Table4[[#This Row],[nm11]])*10^7</f>
        <v>#DIV/0!</v>
      </c>
      <c r="AS56" s="28"/>
      <c r="AT56" s="28">
        <f>Table4[[#This Row],[Φ]]*100</f>
        <v>0</v>
      </c>
      <c r="AU56" s="28"/>
      <c r="AV56" s="28"/>
    </row>
    <row r="57" spans="1:48" x14ac:dyDescent="0.3">
      <c r="A57" s="27" t="s">
        <v>445</v>
      </c>
      <c r="B57" s="29" t="str">
        <f>VLOOKUP(Table4[[#This Row],[Marker name]],BaseInfos_Table[],3,FALSE)</f>
        <v>24782-64-7</v>
      </c>
      <c r="C57" s="27" t="str">
        <f>VLOOKUP(Table4[[#This Row],[Marker name]],BaseInfos_Table[#All],6,FALSE)</f>
        <v>UV-Vis</v>
      </c>
      <c r="G57" s="41" t="e">
        <f>(1*10^7)/Table4[[#This Row],[cm-1]]</f>
        <v>#DIV/0!</v>
      </c>
      <c r="I57" s="41" t="e">
        <f>(1*10^7)/Table4[[#This Row],[cm-2]]</f>
        <v>#DIV/0!</v>
      </c>
      <c r="K57" s="41" t="e">
        <f>(1*10^7)/Table4[[#This Row],[cm-3]]</f>
        <v>#DIV/0!</v>
      </c>
      <c r="R57" s="41" t="e">
        <f>(1*10^7)/Table4[[#This Row],[nm2]]</f>
        <v>#DIV/0!</v>
      </c>
      <c r="T57" s="41" t="e">
        <f>(1*10^7)/Table4[[#This Row],[nm12]]</f>
        <v>#DIV/0!</v>
      </c>
      <c r="Z57" s="28"/>
      <c r="AA57" s="28"/>
      <c r="AB57" s="28" t="e">
        <f>(1/Table4[[#This Row],[nm5]])*10^7</f>
        <v>#DIV/0!</v>
      </c>
      <c r="AC57" s="28"/>
      <c r="AD57" s="28" t="e">
        <f>(1/Table4[[#This Row],[nm8]])*10^7</f>
        <v>#DIV/0!</v>
      </c>
      <c r="AE57" s="28"/>
      <c r="AF57" s="28" t="e">
        <f>(1/Table4[[#This Row],[nm9]])*10^7</f>
        <v>#DIV/0!</v>
      </c>
      <c r="AG57" s="28"/>
      <c r="AH57" s="28"/>
      <c r="AI57" s="28" t="e">
        <f>(1/Table4[[#This Row],[nm4]])*10^7</f>
        <v>#DIV/0!</v>
      </c>
      <c r="AJ57" s="28"/>
      <c r="AK57" s="28" t="e">
        <f>(1/Table4[[#This Row],[nm14]])*10^7</f>
        <v>#DIV/0!</v>
      </c>
      <c r="AL57" s="28"/>
      <c r="AM57" s="28"/>
      <c r="AN57" s="28" t="e">
        <f>(1/Table4[[#This Row],[nm28]])*10^7</f>
        <v>#DIV/0!</v>
      </c>
      <c r="AO57" s="28"/>
      <c r="AP57" s="28" t="e">
        <f>(1/Table4[[#This Row],[nm10]])*10^7</f>
        <v>#DIV/0!</v>
      </c>
      <c r="AQ57" s="28"/>
      <c r="AR57" s="28" t="e">
        <f>(1/Table4[[#This Row],[nm11]])*10^7</f>
        <v>#DIV/0!</v>
      </c>
      <c r="AS57" s="28"/>
      <c r="AT57" s="28">
        <f>Table4[[#This Row],[Φ]]*100</f>
        <v>0</v>
      </c>
      <c r="AU57" s="28"/>
      <c r="AV57" s="28"/>
    </row>
    <row r="58" spans="1:48" x14ac:dyDescent="0.3">
      <c r="A58" s="27" t="s">
        <v>446</v>
      </c>
      <c r="B58" s="29" t="str">
        <f>VLOOKUP(Table4[[#This Row],[Marker name]],BaseInfos_Table[],3,FALSE)</f>
        <v>n.a.</v>
      </c>
      <c r="C58" s="27" t="str">
        <f>VLOOKUP(Table4[[#This Row],[Marker name]],BaseInfos_Table[#All],6,FALSE)</f>
        <v>UV-Vis</v>
      </c>
      <c r="G58" s="41" t="e">
        <f>(1*10^7)/Table4[[#This Row],[cm-1]]</f>
        <v>#DIV/0!</v>
      </c>
      <c r="I58" s="41" t="e">
        <f>(1*10^7)/Table4[[#This Row],[cm-2]]</f>
        <v>#DIV/0!</v>
      </c>
      <c r="K58" s="41" t="e">
        <f>(1*10^7)/Table4[[#This Row],[cm-3]]</f>
        <v>#DIV/0!</v>
      </c>
      <c r="R58" s="41" t="e">
        <f>(1*10^7)/Table4[[#This Row],[nm2]]</f>
        <v>#DIV/0!</v>
      </c>
      <c r="T58" s="41" t="e">
        <f>(1*10^7)/Table4[[#This Row],[nm12]]</f>
        <v>#DIV/0!</v>
      </c>
      <c r="Z58" s="28"/>
      <c r="AA58" s="28"/>
      <c r="AB58" s="28" t="e">
        <f>(1/Table4[[#This Row],[nm5]])*10^7</f>
        <v>#DIV/0!</v>
      </c>
      <c r="AC58" s="28"/>
      <c r="AD58" s="28" t="e">
        <f>(1/Table4[[#This Row],[nm8]])*10^7</f>
        <v>#DIV/0!</v>
      </c>
      <c r="AE58" s="28"/>
      <c r="AF58" s="28" t="e">
        <f>(1/Table4[[#This Row],[nm9]])*10^7</f>
        <v>#DIV/0!</v>
      </c>
      <c r="AG58" s="28"/>
      <c r="AH58" s="28"/>
      <c r="AI58" s="28" t="e">
        <f>(1/Table4[[#This Row],[nm4]])*10^7</f>
        <v>#DIV/0!</v>
      </c>
      <c r="AJ58" s="28"/>
      <c r="AK58" s="28" t="e">
        <f>(1/Table4[[#This Row],[nm14]])*10^7</f>
        <v>#DIV/0!</v>
      </c>
      <c r="AL58" s="28"/>
      <c r="AM58" s="28"/>
      <c r="AN58" s="28" t="e">
        <f>(1/Table4[[#This Row],[nm28]])*10^7</f>
        <v>#DIV/0!</v>
      </c>
      <c r="AO58" s="28"/>
      <c r="AP58" s="28" t="e">
        <f>(1/Table4[[#This Row],[nm10]])*10^7</f>
        <v>#DIV/0!</v>
      </c>
      <c r="AQ58" s="28"/>
      <c r="AR58" s="28" t="e">
        <f>(1/Table4[[#This Row],[nm11]])*10^7</f>
        <v>#DIV/0!</v>
      </c>
      <c r="AS58" s="28"/>
      <c r="AT58" s="28">
        <f>Table4[[#This Row],[Φ]]*100</f>
        <v>0</v>
      </c>
      <c r="AU58" s="28"/>
      <c r="AV58" s="28"/>
    </row>
    <row r="59" spans="1:48" x14ac:dyDescent="0.3">
      <c r="A59" s="27" t="s">
        <v>447</v>
      </c>
      <c r="B59" s="29" t="str">
        <f>VLOOKUP(Table4[[#This Row],[Marker name]],BaseInfos_Table[],3,FALSE)</f>
        <v>n.a.</v>
      </c>
      <c r="C59" s="27" t="str">
        <f>VLOOKUP(Table4[[#This Row],[Marker name]],BaseInfos_Table[#All],6,FALSE)</f>
        <v>UV-Vis</v>
      </c>
      <c r="G59" s="41" t="e">
        <f>(1*10^7)/Table4[[#This Row],[cm-1]]</f>
        <v>#DIV/0!</v>
      </c>
      <c r="I59" s="41" t="e">
        <f>(1*10^7)/Table4[[#This Row],[cm-2]]</f>
        <v>#DIV/0!</v>
      </c>
      <c r="K59" s="41" t="e">
        <f>(1*10^7)/Table4[[#This Row],[cm-3]]</f>
        <v>#DIV/0!</v>
      </c>
      <c r="R59" s="41" t="e">
        <f>(1*10^7)/Table4[[#This Row],[nm2]]</f>
        <v>#DIV/0!</v>
      </c>
      <c r="T59" s="41" t="e">
        <f>(1*10^7)/Table4[[#This Row],[nm12]]</f>
        <v>#DIV/0!</v>
      </c>
      <c r="Z59" s="28"/>
      <c r="AA59" s="28"/>
      <c r="AB59" s="28" t="e">
        <f>(1/Table4[[#This Row],[nm5]])*10^7</f>
        <v>#DIV/0!</v>
      </c>
      <c r="AC59" s="28"/>
      <c r="AD59" s="28" t="e">
        <f>(1/Table4[[#This Row],[nm8]])*10^7</f>
        <v>#DIV/0!</v>
      </c>
      <c r="AE59" s="28"/>
      <c r="AF59" s="28" t="e">
        <f>(1/Table4[[#This Row],[nm9]])*10^7</f>
        <v>#DIV/0!</v>
      </c>
      <c r="AG59" s="28"/>
      <c r="AH59" s="28"/>
      <c r="AI59" s="28" t="e">
        <f>(1/Table4[[#This Row],[nm4]])*10^7</f>
        <v>#DIV/0!</v>
      </c>
      <c r="AJ59" s="28"/>
      <c r="AK59" s="28" t="e">
        <f>(1/Table4[[#This Row],[nm14]])*10^7</f>
        <v>#DIV/0!</v>
      </c>
      <c r="AL59" s="28"/>
      <c r="AM59" s="28"/>
      <c r="AN59" s="28" t="e">
        <f>(1/Table4[[#This Row],[nm28]])*10^7</f>
        <v>#DIV/0!</v>
      </c>
      <c r="AO59" s="28"/>
      <c r="AP59" s="28" t="e">
        <f>(1/Table4[[#This Row],[nm10]])*10^7</f>
        <v>#DIV/0!</v>
      </c>
      <c r="AQ59" s="28"/>
      <c r="AR59" s="28" t="e">
        <f>(1/Table4[[#This Row],[nm11]])*10^7</f>
        <v>#DIV/0!</v>
      </c>
      <c r="AS59" s="28"/>
      <c r="AT59" s="28">
        <f>Table4[[#This Row],[Φ]]*100</f>
        <v>0</v>
      </c>
      <c r="AU59" s="28"/>
      <c r="AV59" s="28"/>
    </row>
    <row r="60" spans="1:48" x14ac:dyDescent="0.3">
      <c r="A60" s="27" t="s">
        <v>448</v>
      </c>
      <c r="B60" s="29" t="str">
        <f>VLOOKUP(Table4[[#This Row],[Marker name]],BaseInfos_Table[],3,FALSE)</f>
        <v>n.a.</v>
      </c>
      <c r="C60" s="27" t="str">
        <f>VLOOKUP(Table4[[#This Row],[Marker name]],BaseInfos_Table[#All],6,FALSE)</f>
        <v>UV-Vis</v>
      </c>
      <c r="G60" s="41" t="e">
        <f>(1*10^7)/Table4[[#This Row],[cm-1]]</f>
        <v>#DIV/0!</v>
      </c>
      <c r="I60" s="41" t="e">
        <f>(1*10^7)/Table4[[#This Row],[cm-2]]</f>
        <v>#DIV/0!</v>
      </c>
      <c r="K60" s="41" t="e">
        <f>(1*10^7)/Table4[[#This Row],[cm-3]]</f>
        <v>#DIV/0!</v>
      </c>
      <c r="R60" s="41" t="e">
        <f>(1*10^7)/Table4[[#This Row],[nm2]]</f>
        <v>#DIV/0!</v>
      </c>
      <c r="T60" s="41" t="e">
        <f>(1*10^7)/Table4[[#This Row],[nm12]]</f>
        <v>#DIV/0!</v>
      </c>
      <c r="Z60" s="28"/>
      <c r="AA60" s="28"/>
      <c r="AB60" s="28" t="e">
        <f>(1/Table4[[#This Row],[nm5]])*10^7</f>
        <v>#DIV/0!</v>
      </c>
      <c r="AC60" s="28"/>
      <c r="AD60" s="28" t="e">
        <f>(1/Table4[[#This Row],[nm8]])*10^7</f>
        <v>#DIV/0!</v>
      </c>
      <c r="AE60" s="28"/>
      <c r="AF60" s="28" t="e">
        <f>(1/Table4[[#This Row],[nm9]])*10^7</f>
        <v>#DIV/0!</v>
      </c>
      <c r="AG60" s="28"/>
      <c r="AH60" s="28"/>
      <c r="AI60" s="28" t="e">
        <f>(1/Table4[[#This Row],[nm4]])*10^7</f>
        <v>#DIV/0!</v>
      </c>
      <c r="AJ60" s="28"/>
      <c r="AK60" s="28" t="e">
        <f>(1/Table4[[#This Row],[nm14]])*10^7</f>
        <v>#DIV/0!</v>
      </c>
      <c r="AL60" s="28"/>
      <c r="AM60" s="28"/>
      <c r="AN60" s="28" t="e">
        <f>(1/Table4[[#This Row],[nm28]])*10^7</f>
        <v>#DIV/0!</v>
      </c>
      <c r="AO60" s="28"/>
      <c r="AP60" s="28" t="e">
        <f>(1/Table4[[#This Row],[nm10]])*10^7</f>
        <v>#DIV/0!</v>
      </c>
      <c r="AQ60" s="28"/>
      <c r="AR60" s="28" t="e">
        <f>(1/Table4[[#This Row],[nm11]])*10^7</f>
        <v>#DIV/0!</v>
      </c>
      <c r="AS60" s="28"/>
      <c r="AT60" s="28">
        <f>Table4[[#This Row],[Φ]]*100</f>
        <v>0</v>
      </c>
      <c r="AU60" s="28"/>
      <c r="AV60" s="28"/>
    </row>
    <row r="61" spans="1:48" x14ac:dyDescent="0.3">
      <c r="A61" s="27" t="s">
        <v>449</v>
      </c>
      <c r="B61" s="29" t="str">
        <f>VLOOKUP(Table4[[#This Row],[Marker name]],BaseInfos_Table[],3,FALSE)</f>
        <v>n.a.</v>
      </c>
      <c r="C61" s="27" t="str">
        <f>VLOOKUP(Table4[[#This Row],[Marker name]],BaseInfos_Table[#All],6,FALSE)</f>
        <v>UV-Vis</v>
      </c>
      <c r="G61" s="41" t="e">
        <f>(1*10^7)/Table4[[#This Row],[cm-1]]</f>
        <v>#DIV/0!</v>
      </c>
      <c r="I61" s="41" t="e">
        <f>(1*10^7)/Table4[[#This Row],[cm-2]]</f>
        <v>#DIV/0!</v>
      </c>
      <c r="K61" s="41" t="e">
        <f>(1*10^7)/Table4[[#This Row],[cm-3]]</f>
        <v>#DIV/0!</v>
      </c>
      <c r="R61" s="41" t="e">
        <f>(1*10^7)/Table4[[#This Row],[nm2]]</f>
        <v>#DIV/0!</v>
      </c>
      <c r="T61" s="41" t="e">
        <f>(1*10^7)/Table4[[#This Row],[nm12]]</f>
        <v>#DIV/0!</v>
      </c>
      <c r="Z61" s="28"/>
      <c r="AA61" s="28"/>
      <c r="AB61" s="28" t="e">
        <f>(1/Table4[[#This Row],[nm5]])*10^7</f>
        <v>#DIV/0!</v>
      </c>
      <c r="AC61" s="28"/>
      <c r="AD61" s="28" t="e">
        <f>(1/Table4[[#This Row],[nm8]])*10^7</f>
        <v>#DIV/0!</v>
      </c>
      <c r="AE61" s="28"/>
      <c r="AF61" s="28" t="e">
        <f>(1/Table4[[#This Row],[nm9]])*10^7</f>
        <v>#DIV/0!</v>
      </c>
      <c r="AG61" s="28"/>
      <c r="AH61" s="28"/>
      <c r="AI61" s="28" t="e">
        <f>(1/Table4[[#This Row],[nm4]])*10^7</f>
        <v>#DIV/0!</v>
      </c>
      <c r="AJ61" s="28"/>
      <c r="AK61" s="28" t="e">
        <f>(1/Table4[[#This Row],[nm14]])*10^7</f>
        <v>#DIV/0!</v>
      </c>
      <c r="AL61" s="28"/>
      <c r="AM61" s="28"/>
      <c r="AN61" s="28" t="e">
        <f>(1/Table4[[#This Row],[nm28]])*10^7</f>
        <v>#DIV/0!</v>
      </c>
      <c r="AO61" s="28"/>
      <c r="AP61" s="28" t="e">
        <f>(1/Table4[[#This Row],[nm10]])*10^7</f>
        <v>#DIV/0!</v>
      </c>
      <c r="AQ61" s="28"/>
      <c r="AR61" s="28" t="e">
        <f>(1/Table4[[#This Row],[nm11]])*10^7</f>
        <v>#DIV/0!</v>
      </c>
      <c r="AS61" s="28"/>
      <c r="AT61" s="28">
        <f>Table4[[#This Row],[Φ]]*100</f>
        <v>0</v>
      </c>
      <c r="AU61" s="28"/>
      <c r="AV61" s="28"/>
    </row>
    <row r="62" spans="1:48" x14ac:dyDescent="0.3">
      <c r="A62" s="27" t="s">
        <v>450</v>
      </c>
      <c r="B62" s="29" t="str">
        <f>VLOOKUP(Table4[[#This Row],[Marker name]],BaseInfos_Table[],3,FALSE)</f>
        <v>n.a.</v>
      </c>
      <c r="C62" s="27" t="str">
        <f>VLOOKUP(Table4[[#This Row],[Marker name]],BaseInfos_Table[#All],6,FALSE)</f>
        <v>UV-Vis</v>
      </c>
      <c r="G62" s="41" t="e">
        <f>(1*10^7)/Table4[[#This Row],[cm-1]]</f>
        <v>#DIV/0!</v>
      </c>
      <c r="I62" s="41" t="e">
        <f>(1*10^7)/Table4[[#This Row],[cm-2]]</f>
        <v>#DIV/0!</v>
      </c>
      <c r="K62" s="41" t="e">
        <f>(1*10^7)/Table4[[#This Row],[cm-3]]</f>
        <v>#DIV/0!</v>
      </c>
      <c r="R62" s="41" t="e">
        <f>(1*10^7)/Table4[[#This Row],[nm2]]</f>
        <v>#DIV/0!</v>
      </c>
      <c r="T62" s="41" t="e">
        <f>(1*10^7)/Table4[[#This Row],[nm12]]</f>
        <v>#DIV/0!</v>
      </c>
      <c r="Z62" s="28"/>
      <c r="AA62" s="28"/>
      <c r="AB62" s="28" t="e">
        <f>(1/Table4[[#This Row],[nm5]])*10^7</f>
        <v>#DIV/0!</v>
      </c>
      <c r="AC62" s="28"/>
      <c r="AD62" s="28" t="e">
        <f>(1/Table4[[#This Row],[nm8]])*10^7</f>
        <v>#DIV/0!</v>
      </c>
      <c r="AE62" s="28"/>
      <c r="AF62" s="28" t="e">
        <f>(1/Table4[[#This Row],[nm9]])*10^7</f>
        <v>#DIV/0!</v>
      </c>
      <c r="AG62" s="28"/>
      <c r="AH62" s="28"/>
      <c r="AI62" s="28" t="e">
        <f>(1/Table4[[#This Row],[nm4]])*10^7</f>
        <v>#DIV/0!</v>
      </c>
      <c r="AJ62" s="28"/>
      <c r="AK62" s="28" t="e">
        <f>(1/Table4[[#This Row],[nm14]])*10^7</f>
        <v>#DIV/0!</v>
      </c>
      <c r="AL62" s="28"/>
      <c r="AM62" s="28"/>
      <c r="AN62" s="28" t="e">
        <f>(1/Table4[[#This Row],[nm28]])*10^7</f>
        <v>#DIV/0!</v>
      </c>
      <c r="AO62" s="28"/>
      <c r="AP62" s="28" t="e">
        <f>(1/Table4[[#This Row],[nm10]])*10^7</f>
        <v>#DIV/0!</v>
      </c>
      <c r="AQ62" s="28"/>
      <c r="AR62" s="28" t="e">
        <f>(1/Table4[[#This Row],[nm11]])*10^7</f>
        <v>#DIV/0!</v>
      </c>
      <c r="AS62" s="28"/>
      <c r="AT62" s="28">
        <f>Table4[[#This Row],[Φ]]*100</f>
        <v>0</v>
      </c>
      <c r="AU62" s="28"/>
      <c r="AV62" s="28"/>
    </row>
    <row r="63" spans="1:48" x14ac:dyDescent="0.3">
      <c r="A63" s="27" t="s">
        <v>451</v>
      </c>
      <c r="B63" s="29" t="str">
        <f>VLOOKUP(Table4[[#This Row],[Marker name]],BaseInfos_Table[],3,FALSE)</f>
        <v>n.a.</v>
      </c>
      <c r="C63" s="27" t="str">
        <f>VLOOKUP(Table4[[#This Row],[Marker name]],BaseInfos_Table[#All],6,FALSE)</f>
        <v>UV-Vis</v>
      </c>
      <c r="G63" s="41" t="e">
        <f>(1*10^7)/Table4[[#This Row],[cm-1]]</f>
        <v>#DIV/0!</v>
      </c>
      <c r="I63" s="41" t="e">
        <f>(1*10^7)/Table4[[#This Row],[cm-2]]</f>
        <v>#DIV/0!</v>
      </c>
      <c r="K63" s="41" t="e">
        <f>(1*10^7)/Table4[[#This Row],[cm-3]]</f>
        <v>#DIV/0!</v>
      </c>
      <c r="R63" s="41" t="e">
        <f>(1*10^7)/Table4[[#This Row],[nm2]]</f>
        <v>#DIV/0!</v>
      </c>
      <c r="T63" s="41" t="e">
        <f>(1*10^7)/Table4[[#This Row],[nm12]]</f>
        <v>#DIV/0!</v>
      </c>
      <c r="Z63" s="28"/>
      <c r="AA63" s="28"/>
      <c r="AB63" s="28" t="e">
        <f>(1/Table4[[#This Row],[nm5]])*10^7</f>
        <v>#DIV/0!</v>
      </c>
      <c r="AC63" s="28"/>
      <c r="AD63" s="28" t="e">
        <f>(1/Table4[[#This Row],[nm8]])*10^7</f>
        <v>#DIV/0!</v>
      </c>
      <c r="AE63" s="28"/>
      <c r="AF63" s="28" t="e">
        <f>(1/Table4[[#This Row],[nm9]])*10^7</f>
        <v>#DIV/0!</v>
      </c>
      <c r="AG63" s="28"/>
      <c r="AH63" s="28"/>
      <c r="AI63" s="28" t="e">
        <f>(1/Table4[[#This Row],[nm4]])*10^7</f>
        <v>#DIV/0!</v>
      </c>
      <c r="AJ63" s="28"/>
      <c r="AK63" s="28" t="e">
        <f>(1/Table4[[#This Row],[nm14]])*10^7</f>
        <v>#DIV/0!</v>
      </c>
      <c r="AL63" s="28"/>
      <c r="AM63" s="28"/>
      <c r="AN63" s="28" t="e">
        <f>(1/Table4[[#This Row],[nm28]])*10^7</f>
        <v>#DIV/0!</v>
      </c>
      <c r="AO63" s="28"/>
      <c r="AP63" s="28" t="e">
        <f>(1/Table4[[#This Row],[nm10]])*10^7</f>
        <v>#DIV/0!</v>
      </c>
      <c r="AQ63" s="28"/>
      <c r="AR63" s="28" t="e">
        <f>(1/Table4[[#This Row],[nm11]])*10^7</f>
        <v>#DIV/0!</v>
      </c>
      <c r="AS63" s="28"/>
      <c r="AT63" s="28">
        <f>Table4[[#This Row],[Φ]]*100</f>
        <v>0</v>
      </c>
      <c r="AU63" s="28"/>
      <c r="AV63" s="28"/>
    </row>
    <row r="64" spans="1:48" x14ac:dyDescent="0.3">
      <c r="A64" s="27" t="s">
        <v>452</v>
      </c>
      <c r="B64" s="29" t="str">
        <f>VLOOKUP(Table4[[#This Row],[Marker name]],BaseInfos_Table[],3,FALSE)</f>
        <v>n.a.</v>
      </c>
      <c r="C64" s="27" t="str">
        <f>VLOOKUP(Table4[[#This Row],[Marker name]],BaseInfos_Table[#All],6,FALSE)</f>
        <v>UV-Vis</v>
      </c>
      <c r="G64" s="41" t="e">
        <f>(1*10^7)/Table4[[#This Row],[cm-1]]</f>
        <v>#DIV/0!</v>
      </c>
      <c r="I64" s="41" t="e">
        <f>(1*10^7)/Table4[[#This Row],[cm-2]]</f>
        <v>#DIV/0!</v>
      </c>
      <c r="K64" s="41" t="e">
        <f>(1*10^7)/Table4[[#This Row],[cm-3]]</f>
        <v>#DIV/0!</v>
      </c>
      <c r="R64" s="41" t="e">
        <f>(1*10^7)/Table4[[#This Row],[nm2]]</f>
        <v>#DIV/0!</v>
      </c>
      <c r="T64" s="41" t="e">
        <f>(1*10^7)/Table4[[#This Row],[nm12]]</f>
        <v>#DIV/0!</v>
      </c>
      <c r="Z64" s="28"/>
      <c r="AA64" s="28"/>
      <c r="AB64" s="28" t="e">
        <f>(1/Table4[[#This Row],[nm5]])*10^7</f>
        <v>#DIV/0!</v>
      </c>
      <c r="AC64" s="28"/>
      <c r="AD64" s="28" t="e">
        <f>(1/Table4[[#This Row],[nm8]])*10^7</f>
        <v>#DIV/0!</v>
      </c>
      <c r="AE64" s="28"/>
      <c r="AF64" s="28" t="e">
        <f>(1/Table4[[#This Row],[nm9]])*10^7</f>
        <v>#DIV/0!</v>
      </c>
      <c r="AG64" s="28"/>
      <c r="AH64" s="28"/>
      <c r="AI64" s="28" t="e">
        <f>(1/Table4[[#This Row],[nm4]])*10^7</f>
        <v>#DIV/0!</v>
      </c>
      <c r="AJ64" s="28"/>
      <c r="AK64" s="28" t="e">
        <f>(1/Table4[[#This Row],[nm14]])*10^7</f>
        <v>#DIV/0!</v>
      </c>
      <c r="AL64" s="28"/>
      <c r="AM64" s="28"/>
      <c r="AN64" s="28" t="e">
        <f>(1/Table4[[#This Row],[nm28]])*10^7</f>
        <v>#DIV/0!</v>
      </c>
      <c r="AO64" s="28"/>
      <c r="AP64" s="28" t="e">
        <f>(1/Table4[[#This Row],[nm10]])*10^7</f>
        <v>#DIV/0!</v>
      </c>
      <c r="AQ64" s="28"/>
      <c r="AR64" s="28" t="e">
        <f>(1/Table4[[#This Row],[nm11]])*10^7</f>
        <v>#DIV/0!</v>
      </c>
      <c r="AS64" s="28"/>
      <c r="AT64" s="28">
        <f>Table4[[#This Row],[Φ]]*100</f>
        <v>0</v>
      </c>
      <c r="AU64" s="28"/>
      <c r="AV64" s="28"/>
    </row>
    <row r="65" spans="1:48" x14ac:dyDescent="0.3">
      <c r="A65" s="27" t="s">
        <v>453</v>
      </c>
      <c r="B65" s="29" t="str">
        <f>VLOOKUP(Table4[[#This Row],[Marker name]],BaseInfos_Table[],3,FALSE)</f>
        <v>n.a.</v>
      </c>
      <c r="C65" s="27" t="str">
        <f>VLOOKUP(Table4[[#This Row],[Marker name]],BaseInfos_Table[#All],6,FALSE)</f>
        <v>UV-Vis</v>
      </c>
      <c r="G65" s="41" t="e">
        <f>(1*10^7)/Table4[[#This Row],[cm-1]]</f>
        <v>#DIV/0!</v>
      </c>
      <c r="I65" s="41" t="e">
        <f>(1*10^7)/Table4[[#This Row],[cm-2]]</f>
        <v>#DIV/0!</v>
      </c>
      <c r="K65" s="41" t="e">
        <f>(1*10^7)/Table4[[#This Row],[cm-3]]</f>
        <v>#DIV/0!</v>
      </c>
      <c r="R65" s="41" t="e">
        <f>(1*10^7)/Table4[[#This Row],[nm2]]</f>
        <v>#DIV/0!</v>
      </c>
      <c r="T65" s="41" t="e">
        <f>(1*10^7)/Table4[[#This Row],[nm12]]</f>
        <v>#DIV/0!</v>
      </c>
      <c r="Z65" s="28"/>
      <c r="AA65" s="28"/>
      <c r="AB65" s="28" t="e">
        <f>(1/Table4[[#This Row],[nm5]])*10^7</f>
        <v>#DIV/0!</v>
      </c>
      <c r="AC65" s="28"/>
      <c r="AD65" s="28" t="e">
        <f>(1/Table4[[#This Row],[nm8]])*10^7</f>
        <v>#DIV/0!</v>
      </c>
      <c r="AE65" s="28"/>
      <c r="AF65" s="28" t="e">
        <f>(1/Table4[[#This Row],[nm9]])*10^7</f>
        <v>#DIV/0!</v>
      </c>
      <c r="AG65" s="28"/>
      <c r="AH65" s="28"/>
      <c r="AI65" s="28" t="e">
        <f>(1/Table4[[#This Row],[nm4]])*10^7</f>
        <v>#DIV/0!</v>
      </c>
      <c r="AJ65" s="28"/>
      <c r="AK65" s="28" t="e">
        <f>(1/Table4[[#This Row],[nm14]])*10^7</f>
        <v>#DIV/0!</v>
      </c>
      <c r="AL65" s="28"/>
      <c r="AM65" s="28"/>
      <c r="AN65" s="28" t="e">
        <f>(1/Table4[[#This Row],[nm28]])*10^7</f>
        <v>#DIV/0!</v>
      </c>
      <c r="AO65" s="28"/>
      <c r="AP65" s="28" t="e">
        <f>(1/Table4[[#This Row],[nm10]])*10^7</f>
        <v>#DIV/0!</v>
      </c>
      <c r="AQ65" s="28"/>
      <c r="AR65" s="28" t="e">
        <f>(1/Table4[[#This Row],[nm11]])*10^7</f>
        <v>#DIV/0!</v>
      </c>
      <c r="AS65" s="28"/>
      <c r="AT65" s="28">
        <f>Table4[[#This Row],[Φ]]*100</f>
        <v>0</v>
      </c>
      <c r="AU65" s="28"/>
      <c r="AV65" s="28"/>
    </row>
    <row r="66" spans="1:48" x14ac:dyDescent="0.3">
      <c r="A66" s="27" t="s">
        <v>454</v>
      </c>
      <c r="B66" s="29" t="str">
        <f>VLOOKUP(Table4[[#This Row],[Marker name]],BaseInfos_Table[],3,FALSE)</f>
        <v>n.a.</v>
      </c>
      <c r="C66" s="27" t="str">
        <f>VLOOKUP(Table4[[#This Row],[Marker name]],BaseInfos_Table[#All],6,FALSE)</f>
        <v>UV-Vis</v>
      </c>
      <c r="G66" s="41" t="e">
        <f>(1*10^7)/Table4[[#This Row],[cm-1]]</f>
        <v>#DIV/0!</v>
      </c>
      <c r="I66" s="41" t="e">
        <f>(1*10^7)/Table4[[#This Row],[cm-2]]</f>
        <v>#DIV/0!</v>
      </c>
      <c r="K66" s="41" t="e">
        <f>(1*10^7)/Table4[[#This Row],[cm-3]]</f>
        <v>#DIV/0!</v>
      </c>
      <c r="R66" s="41" t="e">
        <f>(1*10^7)/Table4[[#This Row],[nm2]]</f>
        <v>#DIV/0!</v>
      </c>
      <c r="T66" s="41" t="e">
        <f>(1*10^7)/Table4[[#This Row],[nm12]]</f>
        <v>#DIV/0!</v>
      </c>
      <c r="Z66" s="28"/>
      <c r="AA66" s="28"/>
      <c r="AB66" s="28" t="e">
        <f>(1/Table4[[#This Row],[nm5]])*10^7</f>
        <v>#DIV/0!</v>
      </c>
      <c r="AC66" s="28"/>
      <c r="AD66" s="28" t="e">
        <f>(1/Table4[[#This Row],[nm8]])*10^7</f>
        <v>#DIV/0!</v>
      </c>
      <c r="AE66" s="28"/>
      <c r="AF66" s="28" t="e">
        <f>(1/Table4[[#This Row],[nm9]])*10^7</f>
        <v>#DIV/0!</v>
      </c>
      <c r="AG66" s="28"/>
      <c r="AH66" s="28"/>
      <c r="AI66" s="28" t="e">
        <f>(1/Table4[[#This Row],[nm4]])*10^7</f>
        <v>#DIV/0!</v>
      </c>
      <c r="AJ66" s="28"/>
      <c r="AK66" s="28" t="e">
        <f>(1/Table4[[#This Row],[nm14]])*10^7</f>
        <v>#DIV/0!</v>
      </c>
      <c r="AL66" s="28"/>
      <c r="AM66" s="28"/>
      <c r="AN66" s="28" t="e">
        <f>(1/Table4[[#This Row],[nm28]])*10^7</f>
        <v>#DIV/0!</v>
      </c>
      <c r="AO66" s="28"/>
      <c r="AP66" s="28" t="e">
        <f>(1/Table4[[#This Row],[nm10]])*10^7</f>
        <v>#DIV/0!</v>
      </c>
      <c r="AQ66" s="28"/>
      <c r="AR66" s="28" t="e">
        <f>(1/Table4[[#This Row],[nm11]])*10^7</f>
        <v>#DIV/0!</v>
      </c>
      <c r="AS66" s="28"/>
      <c r="AT66" s="28">
        <f>Table4[[#This Row],[Φ]]*100</f>
        <v>0</v>
      </c>
      <c r="AU66" s="28"/>
      <c r="AV66" s="28"/>
    </row>
    <row r="67" spans="1:48" x14ac:dyDescent="0.3">
      <c r="A67" s="27" t="s">
        <v>455</v>
      </c>
      <c r="B67" s="29" t="str">
        <f>VLOOKUP(Table4[[#This Row],[Marker name]],BaseInfos_Table[],3,FALSE)</f>
        <v>134272-64-3</v>
      </c>
      <c r="C67" s="27" t="str">
        <f>VLOOKUP(Table4[[#This Row],[Marker name]],BaseInfos_Table[#All],6,FALSE)</f>
        <v>UV-Vis</v>
      </c>
      <c r="G67" s="41" t="e">
        <f>(1*10^7)/Table4[[#This Row],[cm-1]]</f>
        <v>#DIV/0!</v>
      </c>
      <c r="I67" s="41" t="e">
        <f>(1*10^7)/Table4[[#This Row],[cm-2]]</f>
        <v>#DIV/0!</v>
      </c>
      <c r="K67" s="41" t="e">
        <f>(1*10^7)/Table4[[#This Row],[cm-3]]</f>
        <v>#DIV/0!</v>
      </c>
      <c r="R67" s="41" t="e">
        <f>(1*10^7)/Table4[[#This Row],[nm2]]</f>
        <v>#DIV/0!</v>
      </c>
      <c r="T67" s="41" t="e">
        <f>(1*10^7)/Table4[[#This Row],[nm12]]</f>
        <v>#DIV/0!</v>
      </c>
      <c r="Z67" s="28"/>
      <c r="AA67" s="28"/>
      <c r="AB67" s="28" t="e">
        <f>(1/Table4[[#This Row],[nm5]])*10^7</f>
        <v>#DIV/0!</v>
      </c>
      <c r="AC67" s="28"/>
      <c r="AD67" s="28" t="e">
        <f>(1/Table4[[#This Row],[nm8]])*10^7</f>
        <v>#DIV/0!</v>
      </c>
      <c r="AE67" s="28"/>
      <c r="AF67" s="28" t="e">
        <f>(1/Table4[[#This Row],[nm9]])*10^7</f>
        <v>#DIV/0!</v>
      </c>
      <c r="AG67" s="28"/>
      <c r="AH67" s="28"/>
      <c r="AI67" s="28" t="e">
        <f>(1/Table4[[#This Row],[nm4]])*10^7</f>
        <v>#DIV/0!</v>
      </c>
      <c r="AJ67" s="28"/>
      <c r="AK67" s="28" t="e">
        <f>(1/Table4[[#This Row],[nm14]])*10^7</f>
        <v>#DIV/0!</v>
      </c>
      <c r="AL67" s="28"/>
      <c r="AM67" s="28"/>
      <c r="AN67" s="28" t="e">
        <f>(1/Table4[[#This Row],[nm28]])*10^7</f>
        <v>#DIV/0!</v>
      </c>
      <c r="AO67" s="28"/>
      <c r="AP67" s="28" t="e">
        <f>(1/Table4[[#This Row],[nm10]])*10^7</f>
        <v>#DIV/0!</v>
      </c>
      <c r="AQ67" s="28"/>
      <c r="AR67" s="28" t="e">
        <f>(1/Table4[[#This Row],[nm11]])*10^7</f>
        <v>#DIV/0!</v>
      </c>
      <c r="AS67" s="28"/>
      <c r="AT67" s="28">
        <f>Table4[[#This Row],[Φ]]*100</f>
        <v>0</v>
      </c>
      <c r="AU67" s="28"/>
      <c r="AV67" s="28"/>
    </row>
    <row r="68" spans="1:48" x14ac:dyDescent="0.3">
      <c r="A68" s="27" t="s">
        <v>465</v>
      </c>
      <c r="B68" s="29" t="str">
        <f>VLOOKUP(Table4[[#This Row],[Marker name]],BaseInfos_Table[],3,FALSE)</f>
        <v>n.a.</v>
      </c>
      <c r="C68" s="27" t="str">
        <f>VLOOKUP(Table4[[#This Row],[Marker name]],BaseInfos_Table[#All],6,FALSE)</f>
        <v>UV-Vis</v>
      </c>
      <c r="G68" s="41" t="e">
        <f>(1*10^7)/Table4[[#This Row],[cm-1]]</f>
        <v>#DIV/0!</v>
      </c>
      <c r="I68" s="41" t="e">
        <f>(1*10^7)/Table4[[#This Row],[cm-2]]</f>
        <v>#DIV/0!</v>
      </c>
      <c r="K68" s="41" t="e">
        <f>(1*10^7)/Table4[[#This Row],[cm-3]]</f>
        <v>#DIV/0!</v>
      </c>
      <c r="R68" s="41" t="e">
        <f>(1*10^7)/Table4[[#This Row],[nm2]]</f>
        <v>#DIV/0!</v>
      </c>
      <c r="T68" s="41" t="e">
        <f>(1*10^7)/Table4[[#This Row],[nm12]]</f>
        <v>#DIV/0!</v>
      </c>
      <c r="Z68" s="28"/>
      <c r="AA68" s="28"/>
      <c r="AB68" s="28" t="e">
        <f>(1/Table4[[#This Row],[nm5]])*10^7</f>
        <v>#DIV/0!</v>
      </c>
      <c r="AC68" s="28"/>
      <c r="AD68" s="28" t="e">
        <f>(1/Table4[[#This Row],[nm8]])*10^7</f>
        <v>#DIV/0!</v>
      </c>
      <c r="AE68" s="28"/>
      <c r="AF68" s="28" t="e">
        <f>(1/Table4[[#This Row],[nm9]])*10^7</f>
        <v>#DIV/0!</v>
      </c>
      <c r="AG68" s="28"/>
      <c r="AH68" s="28"/>
      <c r="AI68" s="28" t="e">
        <f>(1/Table4[[#This Row],[nm4]])*10^7</f>
        <v>#DIV/0!</v>
      </c>
      <c r="AJ68" s="28"/>
      <c r="AK68" s="28" t="e">
        <f>(1/Table4[[#This Row],[nm14]])*10^7</f>
        <v>#DIV/0!</v>
      </c>
      <c r="AL68" s="28"/>
      <c r="AM68" s="28"/>
      <c r="AN68" s="28" t="e">
        <f>(1/Table4[[#This Row],[nm28]])*10^7</f>
        <v>#DIV/0!</v>
      </c>
      <c r="AO68" s="28"/>
      <c r="AP68" s="28" t="e">
        <f>(1/Table4[[#This Row],[nm10]])*10^7</f>
        <v>#DIV/0!</v>
      </c>
      <c r="AQ68" s="28"/>
      <c r="AR68" s="28" t="e">
        <f>(1/Table4[[#This Row],[nm11]])*10^7</f>
        <v>#DIV/0!</v>
      </c>
      <c r="AS68" s="28"/>
      <c r="AT68" s="28">
        <f>Table4[[#This Row],[Φ]]*100</f>
        <v>0</v>
      </c>
      <c r="AU68" s="28"/>
      <c r="AV68" s="28"/>
    </row>
    <row r="69" spans="1:48" x14ac:dyDescent="0.3">
      <c r="A69" s="27" t="s">
        <v>466</v>
      </c>
      <c r="B69" s="29" t="str">
        <f>VLOOKUP(Table4[[#This Row],[Marker name]],BaseInfos_Table[],3,FALSE)</f>
        <v>n.a.</v>
      </c>
      <c r="C69" s="27" t="str">
        <f>VLOOKUP(Table4[[#This Row],[Marker name]],BaseInfos_Table[#All],6,FALSE)</f>
        <v>UV-Vis</v>
      </c>
      <c r="G69" s="41" t="e">
        <f>(1*10^7)/Table4[[#This Row],[cm-1]]</f>
        <v>#DIV/0!</v>
      </c>
      <c r="I69" s="41" t="e">
        <f>(1*10^7)/Table4[[#This Row],[cm-2]]</f>
        <v>#DIV/0!</v>
      </c>
      <c r="K69" s="41" t="e">
        <f>(1*10^7)/Table4[[#This Row],[cm-3]]</f>
        <v>#DIV/0!</v>
      </c>
      <c r="R69" s="41" t="e">
        <f>(1*10^7)/Table4[[#This Row],[nm2]]</f>
        <v>#DIV/0!</v>
      </c>
      <c r="T69" s="41" t="e">
        <f>(1*10^7)/Table4[[#This Row],[nm12]]</f>
        <v>#DIV/0!</v>
      </c>
      <c r="Z69" s="28"/>
      <c r="AA69" s="28"/>
      <c r="AB69" s="28" t="e">
        <f>(1/Table4[[#This Row],[nm5]])*10^7</f>
        <v>#DIV/0!</v>
      </c>
      <c r="AC69" s="28"/>
      <c r="AD69" s="28" t="e">
        <f>(1/Table4[[#This Row],[nm8]])*10^7</f>
        <v>#DIV/0!</v>
      </c>
      <c r="AE69" s="28"/>
      <c r="AF69" s="28" t="e">
        <f>(1/Table4[[#This Row],[nm9]])*10^7</f>
        <v>#DIV/0!</v>
      </c>
      <c r="AG69" s="28"/>
      <c r="AH69" s="28"/>
      <c r="AI69" s="28" t="e">
        <f>(1/Table4[[#This Row],[nm4]])*10^7</f>
        <v>#DIV/0!</v>
      </c>
      <c r="AJ69" s="28"/>
      <c r="AK69" s="28" t="e">
        <f>(1/Table4[[#This Row],[nm14]])*10^7</f>
        <v>#DIV/0!</v>
      </c>
      <c r="AL69" s="28"/>
      <c r="AM69" s="28"/>
      <c r="AN69" s="28" t="e">
        <f>(1/Table4[[#This Row],[nm28]])*10^7</f>
        <v>#DIV/0!</v>
      </c>
      <c r="AO69" s="28"/>
      <c r="AP69" s="28" t="e">
        <f>(1/Table4[[#This Row],[nm10]])*10^7</f>
        <v>#DIV/0!</v>
      </c>
      <c r="AQ69" s="28"/>
      <c r="AR69" s="28" t="e">
        <f>(1/Table4[[#This Row],[nm11]])*10^7</f>
        <v>#DIV/0!</v>
      </c>
      <c r="AS69" s="28"/>
      <c r="AT69" s="28">
        <f>Table4[[#This Row],[Φ]]*100</f>
        <v>0</v>
      </c>
      <c r="AU69" s="28"/>
      <c r="AV69" s="28"/>
    </row>
    <row r="70" spans="1:48" x14ac:dyDescent="0.3">
      <c r="A70" s="27" t="s">
        <v>467</v>
      </c>
      <c r="B70" s="29" t="str">
        <f>VLOOKUP(Table4[[#This Row],[Marker name]],BaseInfos_Table[],3,FALSE)</f>
        <v>n.a.</v>
      </c>
      <c r="C70" s="27" t="str">
        <f>VLOOKUP(Table4[[#This Row],[Marker name]],BaseInfos_Table[#All],6,FALSE)</f>
        <v>UV-Vis</v>
      </c>
      <c r="G70" s="41" t="e">
        <f>(1*10^7)/Table4[[#This Row],[cm-1]]</f>
        <v>#DIV/0!</v>
      </c>
      <c r="I70" s="41" t="e">
        <f>(1*10^7)/Table4[[#This Row],[cm-2]]</f>
        <v>#DIV/0!</v>
      </c>
      <c r="K70" s="41" t="e">
        <f>(1*10^7)/Table4[[#This Row],[cm-3]]</f>
        <v>#DIV/0!</v>
      </c>
      <c r="R70" s="41" t="e">
        <f>(1*10^7)/Table4[[#This Row],[nm2]]</f>
        <v>#DIV/0!</v>
      </c>
      <c r="T70" s="41" t="e">
        <f>(1*10^7)/Table4[[#This Row],[nm12]]</f>
        <v>#DIV/0!</v>
      </c>
      <c r="Z70" s="28"/>
      <c r="AA70" s="28"/>
      <c r="AB70" s="28" t="e">
        <f>(1/Table4[[#This Row],[nm5]])*10^7</f>
        <v>#DIV/0!</v>
      </c>
      <c r="AC70" s="28"/>
      <c r="AD70" s="28" t="e">
        <f>(1/Table4[[#This Row],[nm8]])*10^7</f>
        <v>#DIV/0!</v>
      </c>
      <c r="AE70" s="28"/>
      <c r="AF70" s="28" t="e">
        <f>(1/Table4[[#This Row],[nm9]])*10^7</f>
        <v>#DIV/0!</v>
      </c>
      <c r="AG70" s="28"/>
      <c r="AH70" s="28"/>
      <c r="AI70" s="28" t="e">
        <f>(1/Table4[[#This Row],[nm4]])*10^7</f>
        <v>#DIV/0!</v>
      </c>
      <c r="AJ70" s="28"/>
      <c r="AK70" s="28" t="e">
        <f>(1/Table4[[#This Row],[nm14]])*10^7</f>
        <v>#DIV/0!</v>
      </c>
      <c r="AL70" s="28"/>
      <c r="AM70" s="28"/>
      <c r="AN70" s="28" t="e">
        <f>(1/Table4[[#This Row],[nm28]])*10^7</f>
        <v>#DIV/0!</v>
      </c>
      <c r="AO70" s="28"/>
      <c r="AP70" s="28" t="e">
        <f>(1/Table4[[#This Row],[nm10]])*10^7</f>
        <v>#DIV/0!</v>
      </c>
      <c r="AQ70" s="28"/>
      <c r="AR70" s="28" t="e">
        <f>(1/Table4[[#This Row],[nm11]])*10^7</f>
        <v>#DIV/0!</v>
      </c>
      <c r="AS70" s="28"/>
      <c r="AT70" s="28">
        <f>Table4[[#This Row],[Φ]]*100</f>
        <v>0</v>
      </c>
      <c r="AU70" s="28"/>
      <c r="AV70" s="28"/>
    </row>
    <row r="71" spans="1:48" x14ac:dyDescent="0.3">
      <c r="A71" s="27" t="s">
        <v>468</v>
      </c>
      <c r="B71" s="29" t="str">
        <f>VLOOKUP(Table4[[#This Row],[Marker name]],BaseInfos_Table[],3,FALSE)</f>
        <v>n.a.</v>
      </c>
      <c r="C71" s="27" t="str">
        <f>VLOOKUP(Table4[[#This Row],[Marker name]],BaseInfos_Table[#All],6,FALSE)</f>
        <v>UV-Vis</v>
      </c>
      <c r="G71" s="41" t="e">
        <f>(1*10^7)/Table4[[#This Row],[cm-1]]</f>
        <v>#DIV/0!</v>
      </c>
      <c r="I71" s="41" t="e">
        <f>(1*10^7)/Table4[[#This Row],[cm-2]]</f>
        <v>#DIV/0!</v>
      </c>
      <c r="K71" s="41" t="e">
        <f>(1*10^7)/Table4[[#This Row],[cm-3]]</f>
        <v>#DIV/0!</v>
      </c>
      <c r="R71" s="41" t="e">
        <f>(1*10^7)/Table4[[#This Row],[nm2]]</f>
        <v>#DIV/0!</v>
      </c>
      <c r="T71" s="41" t="e">
        <f>(1*10^7)/Table4[[#This Row],[nm12]]</f>
        <v>#DIV/0!</v>
      </c>
      <c r="Z71" s="28"/>
      <c r="AA71" s="28"/>
      <c r="AB71" s="28" t="e">
        <f>(1/Table4[[#This Row],[nm5]])*10^7</f>
        <v>#DIV/0!</v>
      </c>
      <c r="AC71" s="28"/>
      <c r="AD71" s="28" t="e">
        <f>(1/Table4[[#This Row],[nm8]])*10^7</f>
        <v>#DIV/0!</v>
      </c>
      <c r="AE71" s="28"/>
      <c r="AF71" s="28" t="e">
        <f>(1/Table4[[#This Row],[nm9]])*10^7</f>
        <v>#DIV/0!</v>
      </c>
      <c r="AG71" s="28"/>
      <c r="AH71" s="28"/>
      <c r="AI71" s="28" t="e">
        <f>(1/Table4[[#This Row],[nm4]])*10^7</f>
        <v>#DIV/0!</v>
      </c>
      <c r="AJ71" s="28"/>
      <c r="AK71" s="28" t="e">
        <f>(1/Table4[[#This Row],[nm14]])*10^7</f>
        <v>#DIV/0!</v>
      </c>
      <c r="AL71" s="28"/>
      <c r="AM71" s="28"/>
      <c r="AN71" s="28" t="e">
        <f>(1/Table4[[#This Row],[nm28]])*10^7</f>
        <v>#DIV/0!</v>
      </c>
      <c r="AO71" s="28"/>
      <c r="AP71" s="28" t="e">
        <f>(1/Table4[[#This Row],[nm10]])*10^7</f>
        <v>#DIV/0!</v>
      </c>
      <c r="AQ71" s="28"/>
      <c r="AR71" s="28" t="e">
        <f>(1/Table4[[#This Row],[nm11]])*10^7</f>
        <v>#DIV/0!</v>
      </c>
      <c r="AS71" s="28"/>
      <c r="AT71" s="28">
        <f>Table4[[#This Row],[Φ]]*100</f>
        <v>0</v>
      </c>
      <c r="AU71" s="28"/>
      <c r="AV71" s="28"/>
    </row>
    <row r="72" spans="1:48" x14ac:dyDescent="0.3">
      <c r="A72" s="27" t="s">
        <v>709</v>
      </c>
      <c r="B72" s="29" t="str">
        <f>VLOOKUP(Table4[[#This Row],[Marker name]],BaseInfos_Table[],3,FALSE)</f>
        <v>12027-88-2</v>
      </c>
      <c r="C72" s="27" t="str">
        <f>VLOOKUP(Table4[[#This Row],[Marker name]],BaseInfos_Table[#All],6,FALSE)</f>
        <v>IR , XRF ,UV-Vis</v>
      </c>
      <c r="G72" s="41" t="e">
        <f>(1*10^7)/Table4[[#This Row],[cm-1]]</f>
        <v>#DIV/0!</v>
      </c>
      <c r="I72" s="41" t="e">
        <f>(1*10^7)/Table4[[#This Row],[cm-2]]</f>
        <v>#DIV/0!</v>
      </c>
      <c r="K72" s="41" t="e">
        <f>(1*10^7)/Table4[[#This Row],[cm-3]]</f>
        <v>#DIV/0!</v>
      </c>
      <c r="R72" s="41" t="e">
        <f>(1*10^7)/Table4[[#This Row],[nm2]]</f>
        <v>#DIV/0!</v>
      </c>
      <c r="T72" s="41" t="e">
        <f>(1*10^7)/Table4[[#This Row],[nm12]]</f>
        <v>#DIV/0!</v>
      </c>
      <c r="Z72" s="28"/>
      <c r="AA72" s="28"/>
      <c r="AB72" s="28" t="e">
        <f>(1/Table4[[#This Row],[nm5]])*10^7</f>
        <v>#DIV/0!</v>
      </c>
      <c r="AC72" s="28"/>
      <c r="AD72" s="28" t="e">
        <f>(1/Table4[[#This Row],[nm8]])*10^7</f>
        <v>#DIV/0!</v>
      </c>
      <c r="AE72" s="28"/>
      <c r="AF72" s="28" t="e">
        <f>(1/Table4[[#This Row],[nm9]])*10^7</f>
        <v>#DIV/0!</v>
      </c>
      <c r="AG72" s="28"/>
      <c r="AH72" s="28"/>
      <c r="AI72" s="28" t="e">
        <f>(1/Table4[[#This Row],[nm4]])*10^7</f>
        <v>#DIV/0!</v>
      </c>
      <c r="AJ72" s="28"/>
      <c r="AK72" s="28" t="e">
        <f>(1/Table4[[#This Row],[nm14]])*10^7</f>
        <v>#DIV/0!</v>
      </c>
      <c r="AL72" s="28"/>
      <c r="AM72" s="28"/>
      <c r="AN72" s="28" t="e">
        <f>(1/Table4[[#This Row],[nm28]])*10^7</f>
        <v>#DIV/0!</v>
      </c>
      <c r="AO72" s="28"/>
      <c r="AP72" s="28" t="e">
        <f>(1/Table4[[#This Row],[nm10]])*10^7</f>
        <v>#DIV/0!</v>
      </c>
      <c r="AQ72" s="28"/>
      <c r="AR72" s="28" t="e">
        <f>(1/Table4[[#This Row],[nm11]])*10^7</f>
        <v>#DIV/0!</v>
      </c>
      <c r="AS72" s="28"/>
      <c r="AT72" s="28">
        <f>Table4[[#This Row],[Φ]]*100</f>
        <v>0</v>
      </c>
      <c r="AU72" s="28"/>
      <c r="AV72" s="28"/>
    </row>
    <row r="73" spans="1:48" ht="16.5" x14ac:dyDescent="0.3">
      <c r="A73" s="27" t="s">
        <v>710</v>
      </c>
      <c r="B73" s="29" t="str">
        <f>VLOOKUP(Table4[[#This Row],[Marker name]],BaseInfos_Table[],3,FALSE)</f>
        <v>n.a.</v>
      </c>
      <c r="C73" s="27" t="str">
        <f>VLOOKUP(Table4[[#This Row],[Marker name]],BaseInfos_Table[#All],6,FALSE)</f>
        <v>IR , XRF ,UV-Vis</v>
      </c>
      <c r="G73" s="41" t="e">
        <f>(1*10^7)/Table4[[#This Row],[cm-1]]</f>
        <v>#DIV/0!</v>
      </c>
      <c r="I73" s="41" t="e">
        <f>(1*10^7)/Table4[[#This Row],[cm-2]]</f>
        <v>#DIV/0!</v>
      </c>
      <c r="K73" s="41" t="e">
        <f>(1*10^7)/Table4[[#This Row],[cm-3]]</f>
        <v>#DIV/0!</v>
      </c>
      <c r="R73" s="41" t="e">
        <f>(1*10^7)/Table4[[#This Row],[nm2]]</f>
        <v>#DIV/0!</v>
      </c>
      <c r="T73" s="41" t="e">
        <f>(1*10^7)/Table4[[#This Row],[nm12]]</f>
        <v>#DIV/0!</v>
      </c>
      <c r="Z73" s="28"/>
      <c r="AA73" s="28"/>
      <c r="AB73" s="28" t="e">
        <f>(1/Table4[[#This Row],[nm5]])*10^7</f>
        <v>#DIV/0!</v>
      </c>
      <c r="AC73" s="28"/>
      <c r="AD73" s="28" t="e">
        <f>(1/Table4[[#This Row],[nm8]])*10^7</f>
        <v>#DIV/0!</v>
      </c>
      <c r="AE73" s="28"/>
      <c r="AF73" s="28" t="e">
        <f>(1/Table4[[#This Row],[nm9]])*10^7</f>
        <v>#DIV/0!</v>
      </c>
      <c r="AG73" s="28"/>
      <c r="AH73" s="28"/>
      <c r="AI73" s="28" t="e">
        <f>(1/Table4[[#This Row],[nm4]])*10^7</f>
        <v>#DIV/0!</v>
      </c>
      <c r="AJ73" s="28"/>
      <c r="AK73" s="28" t="e">
        <f>(1/Table4[[#This Row],[nm14]])*10^7</f>
        <v>#DIV/0!</v>
      </c>
      <c r="AL73" s="28"/>
      <c r="AM73" s="28"/>
      <c r="AN73" s="28" t="e">
        <f>(1/Table4[[#This Row],[nm28]])*10^7</f>
        <v>#DIV/0!</v>
      </c>
      <c r="AO73" s="28"/>
      <c r="AP73" s="28" t="e">
        <f>(1/Table4[[#This Row],[nm10]])*10^7</f>
        <v>#DIV/0!</v>
      </c>
      <c r="AQ73" s="28"/>
      <c r="AR73" s="28" t="e">
        <f>(1/Table4[[#This Row],[nm11]])*10^7</f>
        <v>#DIV/0!</v>
      </c>
      <c r="AS73" s="28"/>
      <c r="AT73" s="28">
        <f>Table4[[#This Row],[Φ]]*100</f>
        <v>0</v>
      </c>
      <c r="AU73" s="28"/>
      <c r="AV73" s="28"/>
    </row>
    <row r="74" spans="1:48" ht="16.5" x14ac:dyDescent="0.3">
      <c r="A74" s="27" t="s">
        <v>711</v>
      </c>
      <c r="B74" s="29" t="str">
        <f>VLOOKUP(Table4[[#This Row],[Marker name]],BaseInfos_Table[],3,FALSE)</f>
        <v>n.a.</v>
      </c>
      <c r="C74" s="27" t="str">
        <f>VLOOKUP(Table4[[#This Row],[Marker name]],BaseInfos_Table[#All],6,FALSE)</f>
        <v>IR , XRF ,UV-Vis</v>
      </c>
      <c r="G74" s="41" t="e">
        <f>(1*10^7)/Table4[[#This Row],[cm-1]]</f>
        <v>#DIV/0!</v>
      </c>
      <c r="I74" s="41" t="e">
        <f>(1*10^7)/Table4[[#This Row],[cm-2]]</f>
        <v>#DIV/0!</v>
      </c>
      <c r="K74" s="41" t="e">
        <f>(1*10^7)/Table4[[#This Row],[cm-3]]</f>
        <v>#DIV/0!</v>
      </c>
      <c r="R74" s="41" t="e">
        <f>(1*10^7)/Table4[[#This Row],[nm2]]</f>
        <v>#DIV/0!</v>
      </c>
      <c r="T74" s="41" t="e">
        <f>(1*10^7)/Table4[[#This Row],[nm12]]</f>
        <v>#DIV/0!</v>
      </c>
      <c r="Z74" s="28"/>
      <c r="AA74" s="28"/>
      <c r="AB74" s="28" t="e">
        <f>(1/Table4[[#This Row],[nm5]])*10^7</f>
        <v>#DIV/0!</v>
      </c>
      <c r="AC74" s="28"/>
      <c r="AD74" s="28" t="e">
        <f>(1/Table4[[#This Row],[nm8]])*10^7</f>
        <v>#DIV/0!</v>
      </c>
      <c r="AE74" s="28"/>
      <c r="AF74" s="28" t="e">
        <f>(1/Table4[[#This Row],[nm9]])*10^7</f>
        <v>#DIV/0!</v>
      </c>
      <c r="AG74" s="28"/>
      <c r="AH74" s="28"/>
      <c r="AI74" s="28" t="e">
        <f>(1/Table4[[#This Row],[nm4]])*10^7</f>
        <v>#DIV/0!</v>
      </c>
      <c r="AJ74" s="28"/>
      <c r="AK74" s="28" t="e">
        <f>(1/Table4[[#This Row],[nm14]])*10^7</f>
        <v>#DIV/0!</v>
      </c>
      <c r="AL74" s="28"/>
      <c r="AM74" s="28"/>
      <c r="AN74" s="28" t="e">
        <f>(1/Table4[[#This Row],[nm28]])*10^7</f>
        <v>#DIV/0!</v>
      </c>
      <c r="AO74" s="28"/>
      <c r="AP74" s="28" t="e">
        <f>(1/Table4[[#This Row],[nm10]])*10^7</f>
        <v>#DIV/0!</v>
      </c>
      <c r="AQ74" s="28"/>
      <c r="AR74" s="28" t="e">
        <f>(1/Table4[[#This Row],[nm11]])*10^7</f>
        <v>#DIV/0!</v>
      </c>
      <c r="AS74" s="28"/>
      <c r="AT74" s="28">
        <f>Table4[[#This Row],[Φ]]*100</f>
        <v>0</v>
      </c>
      <c r="AU74" s="28"/>
      <c r="AV74" s="28"/>
    </row>
    <row r="75" spans="1:48" x14ac:dyDescent="0.3">
      <c r="A75" s="27" t="s">
        <v>712</v>
      </c>
      <c r="B75" s="29" t="str">
        <f>VLOOKUP(Table4[[#This Row],[Marker name]],BaseInfos_Table[],3,FALSE)</f>
        <v>12005-21-9</v>
      </c>
      <c r="C75" s="27" t="str">
        <f>VLOOKUP(Table4[[#This Row],[Marker name]],BaseInfos_Table[#All],6,FALSE)</f>
        <v>IR , XRF ,UV-Vis</v>
      </c>
      <c r="G75" s="41" t="e">
        <f>(1*10^7)/Table4[[#This Row],[cm-1]]</f>
        <v>#DIV/0!</v>
      </c>
      <c r="I75" s="41" t="e">
        <f>(1*10^7)/Table4[[#This Row],[cm-2]]</f>
        <v>#DIV/0!</v>
      </c>
      <c r="K75" s="41" t="e">
        <f>(1*10^7)/Table4[[#This Row],[cm-3]]</f>
        <v>#DIV/0!</v>
      </c>
      <c r="R75" s="41" t="e">
        <f>(1*10^7)/Table4[[#This Row],[nm2]]</f>
        <v>#DIV/0!</v>
      </c>
      <c r="T75" s="41" t="e">
        <f>(1*10^7)/Table4[[#This Row],[nm12]]</f>
        <v>#DIV/0!</v>
      </c>
      <c r="Z75" s="28"/>
      <c r="AA75" s="28"/>
      <c r="AB75" s="28" t="e">
        <f>(1/Table4[[#This Row],[nm5]])*10^7</f>
        <v>#DIV/0!</v>
      </c>
      <c r="AC75" s="28"/>
      <c r="AD75" s="28" t="e">
        <f>(1/Table4[[#This Row],[nm8]])*10^7</f>
        <v>#DIV/0!</v>
      </c>
      <c r="AE75" s="28"/>
      <c r="AF75" s="28" t="e">
        <f>(1/Table4[[#This Row],[nm9]])*10^7</f>
        <v>#DIV/0!</v>
      </c>
      <c r="AG75" s="28"/>
      <c r="AH75" s="28"/>
      <c r="AI75" s="28" t="e">
        <f>(1/Table4[[#This Row],[nm4]])*10^7</f>
        <v>#DIV/0!</v>
      </c>
      <c r="AJ75" s="28"/>
      <c r="AK75" s="28" t="e">
        <f>(1/Table4[[#This Row],[nm14]])*10^7</f>
        <v>#DIV/0!</v>
      </c>
      <c r="AL75" s="28"/>
      <c r="AM75" s="28"/>
      <c r="AN75" s="28" t="e">
        <f>(1/Table4[[#This Row],[nm28]])*10^7</f>
        <v>#DIV/0!</v>
      </c>
      <c r="AO75" s="28"/>
      <c r="AP75" s="28" t="e">
        <f>(1/Table4[[#This Row],[nm10]])*10^7</f>
        <v>#DIV/0!</v>
      </c>
      <c r="AQ75" s="28"/>
      <c r="AR75" s="28" t="e">
        <f>(1/Table4[[#This Row],[nm11]])*10^7</f>
        <v>#DIV/0!</v>
      </c>
      <c r="AS75" s="28"/>
      <c r="AT75" s="28">
        <f>Table4[[#This Row],[Φ]]*100</f>
        <v>0</v>
      </c>
      <c r="AU75" s="28"/>
      <c r="AV75" s="28"/>
    </row>
    <row r="76" spans="1:48" x14ac:dyDescent="0.3">
      <c r="A76" s="27" t="s">
        <v>525</v>
      </c>
      <c r="B76" s="29" t="str">
        <f>VLOOKUP(Table4[[#This Row],[Marker name]],BaseInfos_Table[],3,FALSE)</f>
        <v>n.a.</v>
      </c>
      <c r="C76" s="27" t="str">
        <f>VLOOKUP(Table4[[#This Row],[Marker name]],BaseInfos_Table[#All],6,FALSE)</f>
        <v>UV-Vis</v>
      </c>
      <c r="G76" s="41" t="e">
        <f>(1*10^7)/Table4[[#This Row],[cm-1]]</f>
        <v>#DIV/0!</v>
      </c>
      <c r="I76" s="41" t="e">
        <f>(1*10^7)/Table4[[#This Row],[cm-2]]</f>
        <v>#DIV/0!</v>
      </c>
      <c r="K76" s="41" t="e">
        <f>(1*10^7)/Table4[[#This Row],[cm-3]]</f>
        <v>#DIV/0!</v>
      </c>
      <c r="R76" s="41" t="e">
        <f>(1*10^7)/Table4[[#This Row],[nm2]]</f>
        <v>#DIV/0!</v>
      </c>
      <c r="T76" s="41" t="e">
        <f>(1*10^7)/Table4[[#This Row],[nm12]]</f>
        <v>#DIV/0!</v>
      </c>
      <c r="Z76" s="28"/>
      <c r="AA76" s="28"/>
      <c r="AB76" s="28" t="e">
        <f>(1/Table4[[#This Row],[nm5]])*10^7</f>
        <v>#DIV/0!</v>
      </c>
      <c r="AC76" s="28"/>
      <c r="AD76" s="28" t="e">
        <f>(1/Table4[[#This Row],[nm8]])*10^7</f>
        <v>#DIV/0!</v>
      </c>
      <c r="AE76" s="28"/>
      <c r="AF76" s="28" t="e">
        <f>(1/Table4[[#This Row],[nm9]])*10^7</f>
        <v>#DIV/0!</v>
      </c>
      <c r="AG76" s="28"/>
      <c r="AH76" s="28"/>
      <c r="AI76" s="28" t="e">
        <f>(1/Table4[[#This Row],[nm4]])*10^7</f>
        <v>#DIV/0!</v>
      </c>
      <c r="AJ76" s="28"/>
      <c r="AK76" s="28" t="e">
        <f>(1/Table4[[#This Row],[nm14]])*10^7</f>
        <v>#DIV/0!</v>
      </c>
      <c r="AL76" s="28"/>
      <c r="AM76" s="28"/>
      <c r="AN76" s="28" t="e">
        <f>(1/Table4[[#This Row],[nm28]])*10^7</f>
        <v>#DIV/0!</v>
      </c>
      <c r="AO76" s="28"/>
      <c r="AP76" s="28" t="e">
        <f>(1/Table4[[#This Row],[nm10]])*10^7</f>
        <v>#DIV/0!</v>
      </c>
      <c r="AQ76" s="28"/>
      <c r="AR76" s="28" t="e">
        <f>(1/Table4[[#This Row],[nm11]])*10^7</f>
        <v>#DIV/0!</v>
      </c>
      <c r="AS76" s="28"/>
      <c r="AT76" s="28">
        <f>Table4[[#This Row],[Φ]]*100</f>
        <v>0</v>
      </c>
      <c r="AU76" s="28"/>
      <c r="AV76" s="28"/>
    </row>
    <row r="77" spans="1:48" x14ac:dyDescent="0.3">
      <c r="A77" s="27" t="s">
        <v>578</v>
      </c>
      <c r="C77" s="27" t="str">
        <f>VLOOKUP(Table4[[#This Row],[Marker name]],BaseInfos_Table[#All],6,FALSE)</f>
        <v>XRF</v>
      </c>
      <c r="G77" s="41" t="e">
        <f>(1*10^7)/Table4[[#This Row],[cm-1]]</f>
        <v>#DIV/0!</v>
      </c>
      <c r="I77" s="41" t="e">
        <f>(1*10^7)/Table4[[#This Row],[cm-2]]</f>
        <v>#DIV/0!</v>
      </c>
      <c r="K77" s="41" t="e">
        <f>(1*10^7)/Table4[[#This Row],[cm-3]]</f>
        <v>#DIV/0!</v>
      </c>
      <c r="R77" s="41" t="e">
        <f>(1*10^7)/Table4[[#This Row],[nm2]]</f>
        <v>#DIV/0!</v>
      </c>
      <c r="T77" s="41" t="e">
        <f>(1*10^7)/Table4[[#This Row],[nm12]]</f>
        <v>#DIV/0!</v>
      </c>
      <c r="Z77" s="28"/>
      <c r="AA77" s="28"/>
      <c r="AB77" s="28" t="e">
        <f>(1/Table4[[#This Row],[nm5]])*10^7</f>
        <v>#DIV/0!</v>
      </c>
      <c r="AC77" s="28"/>
      <c r="AD77" s="28" t="e">
        <f>(1/Table4[[#This Row],[nm8]])*10^7</f>
        <v>#DIV/0!</v>
      </c>
      <c r="AE77" s="28"/>
      <c r="AF77" s="28" t="e">
        <f>(1/Table4[[#This Row],[nm9]])*10^7</f>
        <v>#DIV/0!</v>
      </c>
      <c r="AG77" s="28"/>
      <c r="AH77" s="28"/>
      <c r="AI77" s="28" t="e">
        <f>(1/Table4[[#This Row],[nm4]])*10^7</f>
        <v>#DIV/0!</v>
      </c>
      <c r="AJ77" s="28"/>
      <c r="AK77" s="28" t="e">
        <f>(1/Table4[[#This Row],[nm14]])*10^7</f>
        <v>#DIV/0!</v>
      </c>
      <c r="AL77" s="28"/>
      <c r="AM77" s="28"/>
      <c r="AN77" s="28" t="e">
        <f>(1/Table4[[#This Row],[nm28]])*10^7</f>
        <v>#DIV/0!</v>
      </c>
      <c r="AO77" s="28"/>
      <c r="AP77" s="28" t="e">
        <f>(1/Table4[[#This Row],[nm10]])*10^7</f>
        <v>#DIV/0!</v>
      </c>
      <c r="AQ77" s="28"/>
      <c r="AR77" s="28" t="e">
        <f>(1/Table4[[#This Row],[nm11]])*10^7</f>
        <v>#DIV/0!</v>
      </c>
      <c r="AS77" s="28"/>
      <c r="AT77" s="28">
        <f>Table4[[#This Row],[Φ]]*100</f>
        <v>0</v>
      </c>
      <c r="AU77" s="28"/>
      <c r="AV77" s="28"/>
    </row>
    <row r="78" spans="1:48" x14ac:dyDescent="0.3">
      <c r="A78" s="27" t="s">
        <v>573</v>
      </c>
      <c r="C78" s="27" t="str">
        <f>VLOOKUP(Table4[[#This Row],[Marker name]],BaseInfos_Table[#All],6,FALSE)</f>
        <v>XRF</v>
      </c>
      <c r="G78" s="41" t="e">
        <f>(1*10^7)/Table4[[#This Row],[cm-1]]</f>
        <v>#DIV/0!</v>
      </c>
      <c r="I78" s="41" t="e">
        <f>(1*10^7)/Table4[[#This Row],[cm-2]]</f>
        <v>#DIV/0!</v>
      </c>
      <c r="K78" s="41" t="e">
        <f>(1*10^7)/Table4[[#This Row],[cm-3]]</f>
        <v>#DIV/0!</v>
      </c>
      <c r="R78" s="41" t="e">
        <f>(1*10^7)/Table4[[#This Row],[nm2]]</f>
        <v>#DIV/0!</v>
      </c>
      <c r="T78" s="41" t="e">
        <f>(1*10^7)/Table4[[#This Row],[nm12]]</f>
        <v>#DIV/0!</v>
      </c>
      <c r="Z78" s="28"/>
      <c r="AA78" s="28"/>
      <c r="AB78" s="28" t="e">
        <f>(1/Table4[[#This Row],[nm5]])*10^7</f>
        <v>#DIV/0!</v>
      </c>
      <c r="AC78" s="28"/>
      <c r="AD78" s="28" t="e">
        <f>(1/Table4[[#This Row],[nm8]])*10^7</f>
        <v>#DIV/0!</v>
      </c>
      <c r="AE78" s="28"/>
      <c r="AF78" s="28" t="e">
        <f>(1/Table4[[#This Row],[nm9]])*10^7</f>
        <v>#DIV/0!</v>
      </c>
      <c r="AG78" s="28"/>
      <c r="AH78" s="28"/>
      <c r="AI78" s="28" t="e">
        <f>(1/Table4[[#This Row],[nm4]])*10^7</f>
        <v>#DIV/0!</v>
      </c>
      <c r="AJ78" s="28"/>
      <c r="AK78" s="28" t="e">
        <f>(1/Table4[[#This Row],[nm14]])*10^7</f>
        <v>#DIV/0!</v>
      </c>
      <c r="AL78" s="28"/>
      <c r="AM78" s="28"/>
      <c r="AN78" s="28" t="e">
        <f>(1/Table4[[#This Row],[nm28]])*10^7</f>
        <v>#DIV/0!</v>
      </c>
      <c r="AO78" s="28"/>
      <c r="AP78" s="28" t="e">
        <f>(1/Table4[[#This Row],[nm10]])*10^7</f>
        <v>#DIV/0!</v>
      </c>
      <c r="AQ78" s="28"/>
      <c r="AR78" s="28" t="e">
        <f>(1/Table4[[#This Row],[nm11]])*10^7</f>
        <v>#DIV/0!</v>
      </c>
      <c r="AS78" s="28"/>
      <c r="AT78" s="28">
        <f>Table4[[#This Row],[Φ]]*100</f>
        <v>0</v>
      </c>
      <c r="AU78" s="28"/>
      <c r="AV78" s="28"/>
    </row>
    <row r="79" spans="1:48" x14ac:dyDescent="0.3">
      <c r="A79" s="27" t="s">
        <v>713</v>
      </c>
      <c r="C79" s="27" t="str">
        <f>VLOOKUP(Table4[[#This Row],[Marker name]],BaseInfos_Table[#All],6,FALSE)</f>
        <v>XRF</v>
      </c>
      <c r="G79" s="41" t="e">
        <f>(1*10^7)/Table4[[#This Row],[cm-1]]</f>
        <v>#DIV/0!</v>
      </c>
      <c r="I79" s="41" t="e">
        <f>(1*10^7)/Table4[[#This Row],[cm-2]]</f>
        <v>#DIV/0!</v>
      </c>
      <c r="K79" s="41" t="e">
        <f>(1*10^7)/Table4[[#This Row],[cm-3]]</f>
        <v>#DIV/0!</v>
      </c>
      <c r="R79" s="41" t="e">
        <f>(1*10^7)/Table4[[#This Row],[nm2]]</f>
        <v>#DIV/0!</v>
      </c>
      <c r="T79" s="41" t="e">
        <f>(1*10^7)/Table4[[#This Row],[nm12]]</f>
        <v>#DIV/0!</v>
      </c>
      <c r="Z79" s="28"/>
      <c r="AA79" s="28"/>
      <c r="AB79" s="28" t="e">
        <f>(1/Table4[[#This Row],[nm5]])*10^7</f>
        <v>#DIV/0!</v>
      </c>
      <c r="AC79" s="28"/>
      <c r="AD79" s="28" t="e">
        <f>(1/Table4[[#This Row],[nm8]])*10^7</f>
        <v>#DIV/0!</v>
      </c>
      <c r="AE79" s="28"/>
      <c r="AF79" s="28" t="e">
        <f>(1/Table4[[#This Row],[nm9]])*10^7</f>
        <v>#DIV/0!</v>
      </c>
      <c r="AG79" s="28"/>
      <c r="AH79" s="28"/>
      <c r="AI79" s="28" t="e">
        <f>(1/Table4[[#This Row],[nm4]])*10^7</f>
        <v>#DIV/0!</v>
      </c>
      <c r="AJ79" s="28"/>
      <c r="AK79" s="28" t="e">
        <f>(1/Table4[[#This Row],[nm14]])*10^7</f>
        <v>#DIV/0!</v>
      </c>
      <c r="AL79" s="28"/>
      <c r="AM79" s="28"/>
      <c r="AN79" s="28" t="e">
        <f>(1/Table4[[#This Row],[nm28]])*10^7</f>
        <v>#DIV/0!</v>
      </c>
      <c r="AO79" s="28"/>
      <c r="AP79" s="28" t="e">
        <f>(1/Table4[[#This Row],[nm10]])*10^7</f>
        <v>#DIV/0!</v>
      </c>
      <c r="AQ79" s="28"/>
      <c r="AR79" s="28" t="e">
        <f>(1/Table4[[#This Row],[nm11]])*10^7</f>
        <v>#DIV/0!</v>
      </c>
      <c r="AS79" s="28"/>
      <c r="AT79" s="28">
        <f>Table4[[#This Row],[Φ]]*100</f>
        <v>0</v>
      </c>
      <c r="AU79" s="28"/>
      <c r="AV79" s="28"/>
    </row>
    <row r="80" spans="1:48" x14ac:dyDescent="0.3">
      <c r="A80" s="27" t="s">
        <v>714</v>
      </c>
      <c r="C80" s="27" t="str">
        <f>VLOOKUP(Table4[[#This Row],[Marker name]],BaseInfos_Table[#All],6,FALSE)</f>
        <v>XRF</v>
      </c>
      <c r="G80" s="41" t="e">
        <f>(1*10^7)/Table4[[#This Row],[cm-1]]</f>
        <v>#DIV/0!</v>
      </c>
      <c r="I80" s="41" t="e">
        <f>(1*10^7)/Table4[[#This Row],[cm-2]]</f>
        <v>#DIV/0!</v>
      </c>
      <c r="K80" s="41" t="e">
        <f>(1*10^7)/Table4[[#This Row],[cm-3]]</f>
        <v>#DIV/0!</v>
      </c>
      <c r="R80" s="41" t="e">
        <f>(1*10^7)/Table4[[#This Row],[nm2]]</f>
        <v>#DIV/0!</v>
      </c>
      <c r="T80" s="41" t="e">
        <f>(1*10^7)/Table4[[#This Row],[nm12]]</f>
        <v>#DIV/0!</v>
      </c>
      <c r="Z80" s="28"/>
      <c r="AA80" s="28"/>
      <c r="AB80" s="28" t="e">
        <f>(1/Table4[[#This Row],[nm5]])*10^7</f>
        <v>#DIV/0!</v>
      </c>
      <c r="AC80" s="28"/>
      <c r="AD80" s="28" t="e">
        <f>(1/Table4[[#This Row],[nm8]])*10^7</f>
        <v>#DIV/0!</v>
      </c>
      <c r="AE80" s="28"/>
      <c r="AF80" s="28" t="e">
        <f>(1/Table4[[#This Row],[nm9]])*10^7</f>
        <v>#DIV/0!</v>
      </c>
      <c r="AG80" s="28"/>
      <c r="AH80" s="28"/>
      <c r="AI80" s="28" t="e">
        <f>(1/Table4[[#This Row],[nm4]])*10^7</f>
        <v>#DIV/0!</v>
      </c>
      <c r="AJ80" s="28"/>
      <c r="AK80" s="28" t="e">
        <f>(1/Table4[[#This Row],[nm14]])*10^7</f>
        <v>#DIV/0!</v>
      </c>
      <c r="AL80" s="28"/>
      <c r="AM80" s="28"/>
      <c r="AN80" s="28" t="e">
        <f>(1/Table4[[#This Row],[nm28]])*10^7</f>
        <v>#DIV/0!</v>
      </c>
      <c r="AO80" s="28"/>
      <c r="AP80" s="28" t="e">
        <f>(1/Table4[[#This Row],[nm10]])*10^7</f>
        <v>#DIV/0!</v>
      </c>
      <c r="AQ80" s="28"/>
      <c r="AR80" s="28" t="e">
        <f>(1/Table4[[#This Row],[nm11]])*10^7</f>
        <v>#DIV/0!</v>
      </c>
      <c r="AS80" s="28"/>
      <c r="AT80" s="28">
        <f>Table4[[#This Row],[Φ]]*100</f>
        <v>0</v>
      </c>
      <c r="AU80" s="28"/>
      <c r="AV80" s="28"/>
    </row>
    <row r="81" spans="1:48" x14ac:dyDescent="0.3">
      <c r="A81" s="27" t="s">
        <v>715</v>
      </c>
      <c r="C81" s="27" t="str">
        <f>VLOOKUP(Table4[[#This Row],[Marker name]],BaseInfos_Table[#All],6,FALSE)</f>
        <v>XRF</v>
      </c>
      <c r="G81" s="41" t="e">
        <f>(1*10^7)/Table4[[#This Row],[cm-1]]</f>
        <v>#DIV/0!</v>
      </c>
      <c r="I81" s="41" t="e">
        <f>(1*10^7)/Table4[[#This Row],[cm-2]]</f>
        <v>#DIV/0!</v>
      </c>
      <c r="K81" s="41" t="e">
        <f>(1*10^7)/Table4[[#This Row],[cm-3]]</f>
        <v>#DIV/0!</v>
      </c>
      <c r="R81" s="41" t="e">
        <f>(1*10^7)/Table4[[#This Row],[nm2]]</f>
        <v>#DIV/0!</v>
      </c>
      <c r="T81" s="41" t="e">
        <f>(1*10^7)/Table4[[#This Row],[nm12]]</f>
        <v>#DIV/0!</v>
      </c>
      <c r="Z81" s="28"/>
      <c r="AA81" s="28"/>
      <c r="AB81" s="28" t="e">
        <f>(1/Table4[[#This Row],[nm5]])*10^7</f>
        <v>#DIV/0!</v>
      </c>
      <c r="AC81" s="28"/>
      <c r="AD81" s="28" t="e">
        <f>(1/Table4[[#This Row],[nm8]])*10^7</f>
        <v>#DIV/0!</v>
      </c>
      <c r="AE81" s="28"/>
      <c r="AF81" s="28" t="e">
        <f>(1/Table4[[#This Row],[nm9]])*10^7</f>
        <v>#DIV/0!</v>
      </c>
      <c r="AG81" s="28"/>
      <c r="AH81" s="28"/>
      <c r="AI81" s="28" t="e">
        <f>(1/Table4[[#This Row],[nm4]])*10^7</f>
        <v>#DIV/0!</v>
      </c>
      <c r="AJ81" s="28"/>
      <c r="AK81" s="28" t="e">
        <f>(1/Table4[[#This Row],[nm14]])*10^7</f>
        <v>#DIV/0!</v>
      </c>
      <c r="AL81" s="28"/>
      <c r="AM81" s="28"/>
      <c r="AN81" s="28" t="e">
        <f>(1/Table4[[#This Row],[nm28]])*10^7</f>
        <v>#DIV/0!</v>
      </c>
      <c r="AO81" s="28"/>
      <c r="AP81" s="28" t="e">
        <f>(1/Table4[[#This Row],[nm10]])*10^7</f>
        <v>#DIV/0!</v>
      </c>
      <c r="AQ81" s="28"/>
      <c r="AR81" s="28" t="e">
        <f>(1/Table4[[#This Row],[nm11]])*10^7</f>
        <v>#DIV/0!</v>
      </c>
      <c r="AS81" s="28"/>
      <c r="AT81" s="28">
        <f>Table4[[#This Row],[Φ]]*100</f>
        <v>0</v>
      </c>
      <c r="AU81" s="28"/>
      <c r="AV81" s="28"/>
    </row>
    <row r="82" spans="1:48" x14ac:dyDescent="0.3">
      <c r="A82" s="27" t="s">
        <v>601</v>
      </c>
      <c r="C82" s="27" t="str">
        <f>VLOOKUP(Table4[[#This Row],[Marker name]],BaseInfos_Table[#All],6,FALSE)</f>
        <v>UV-Vis, IR</v>
      </c>
      <c r="G82" s="41" t="e">
        <f>(1*10^7)/Table4[[#This Row],[cm-1]]</f>
        <v>#DIV/0!</v>
      </c>
      <c r="I82" s="41" t="e">
        <f>(1*10^7)/Table4[[#This Row],[cm-2]]</f>
        <v>#DIV/0!</v>
      </c>
      <c r="K82" s="41" t="e">
        <f>(1*10^7)/Table4[[#This Row],[cm-3]]</f>
        <v>#DIV/0!</v>
      </c>
      <c r="R82" s="41" t="e">
        <f>(1*10^7)/Table4[[#This Row],[nm2]]</f>
        <v>#DIV/0!</v>
      </c>
      <c r="T82" s="41" t="e">
        <f>(1*10^7)/Table4[[#This Row],[nm12]]</f>
        <v>#DIV/0!</v>
      </c>
      <c r="Z82" s="28"/>
      <c r="AA82" s="28"/>
      <c r="AB82" s="28" t="e">
        <f>(1/Table4[[#This Row],[nm5]])*10^7</f>
        <v>#DIV/0!</v>
      </c>
      <c r="AC82" s="28"/>
      <c r="AD82" s="28" t="e">
        <f>(1/Table4[[#This Row],[nm8]])*10^7</f>
        <v>#DIV/0!</v>
      </c>
      <c r="AE82" s="28"/>
      <c r="AF82" s="28" t="e">
        <f>(1/Table4[[#This Row],[nm9]])*10^7</f>
        <v>#DIV/0!</v>
      </c>
      <c r="AG82" s="28"/>
      <c r="AH82" s="28"/>
      <c r="AI82" s="28" t="e">
        <f>(1/Table4[[#This Row],[nm4]])*10^7</f>
        <v>#DIV/0!</v>
      </c>
      <c r="AJ82" s="28"/>
      <c r="AK82" s="28" t="e">
        <f>(1/Table4[[#This Row],[nm14]])*10^7</f>
        <v>#DIV/0!</v>
      </c>
      <c r="AL82" s="28"/>
      <c r="AM82" s="28"/>
      <c r="AN82" s="28" t="e">
        <f>(1/Table4[[#This Row],[nm28]])*10^7</f>
        <v>#DIV/0!</v>
      </c>
      <c r="AO82" s="28"/>
      <c r="AP82" s="28" t="e">
        <f>(1/Table4[[#This Row],[nm10]])*10^7</f>
        <v>#DIV/0!</v>
      </c>
      <c r="AQ82" s="28"/>
      <c r="AR82" s="28" t="e">
        <f>(1/Table4[[#This Row],[nm11]])*10^7</f>
        <v>#DIV/0!</v>
      </c>
      <c r="AS82" s="28"/>
      <c r="AT82" s="28">
        <f>Table4[[#This Row],[Φ]]*100</f>
        <v>0</v>
      </c>
      <c r="AU82" s="28"/>
      <c r="AV82" s="28"/>
    </row>
    <row r="83" spans="1:48" x14ac:dyDescent="0.3">
      <c r="A83" s="27" t="s">
        <v>602</v>
      </c>
      <c r="C83" s="27" t="str">
        <f>VLOOKUP(Table4[[#This Row],[Marker name]],BaseInfos_Table[#All],6,FALSE)</f>
        <v>UV-Vis, IR</v>
      </c>
      <c r="G83" s="41" t="e">
        <f>(1*10^7)/Table4[[#This Row],[cm-1]]</f>
        <v>#DIV/0!</v>
      </c>
      <c r="I83" s="41" t="e">
        <f>(1*10^7)/Table4[[#This Row],[cm-2]]</f>
        <v>#DIV/0!</v>
      </c>
      <c r="K83" s="41" t="e">
        <f>(1*10^7)/Table4[[#This Row],[cm-3]]</f>
        <v>#DIV/0!</v>
      </c>
      <c r="R83" s="41" t="e">
        <f>(1*10^7)/Table4[[#This Row],[nm2]]</f>
        <v>#DIV/0!</v>
      </c>
      <c r="T83" s="41" t="e">
        <f>(1*10^7)/Table4[[#This Row],[nm12]]</f>
        <v>#DIV/0!</v>
      </c>
      <c r="Z83" s="28"/>
      <c r="AA83" s="28"/>
      <c r="AB83" s="28" t="e">
        <f>(1/Table4[[#This Row],[nm5]])*10^7</f>
        <v>#DIV/0!</v>
      </c>
      <c r="AC83" s="28"/>
      <c r="AD83" s="28" t="e">
        <f>(1/Table4[[#This Row],[nm8]])*10^7</f>
        <v>#DIV/0!</v>
      </c>
      <c r="AE83" s="28"/>
      <c r="AF83" s="28" t="e">
        <f>(1/Table4[[#This Row],[nm9]])*10^7</f>
        <v>#DIV/0!</v>
      </c>
      <c r="AG83" s="28"/>
      <c r="AH83" s="28"/>
      <c r="AI83" s="28" t="e">
        <f>(1/Table4[[#This Row],[nm4]])*10^7</f>
        <v>#DIV/0!</v>
      </c>
      <c r="AJ83" s="28"/>
      <c r="AK83" s="28" t="e">
        <f>(1/Table4[[#This Row],[nm14]])*10^7</f>
        <v>#DIV/0!</v>
      </c>
      <c r="AL83" s="28"/>
      <c r="AM83" s="28"/>
      <c r="AN83" s="28" t="e">
        <f>(1/Table4[[#This Row],[nm28]])*10^7</f>
        <v>#DIV/0!</v>
      </c>
      <c r="AO83" s="28"/>
      <c r="AP83" s="28" t="e">
        <f>(1/Table4[[#This Row],[nm10]])*10^7</f>
        <v>#DIV/0!</v>
      </c>
      <c r="AQ83" s="28"/>
      <c r="AR83" s="28" t="e">
        <f>(1/Table4[[#This Row],[nm11]])*10^7</f>
        <v>#DIV/0!</v>
      </c>
      <c r="AS83" s="28"/>
      <c r="AT83" s="28">
        <f>Table4[[#This Row],[Φ]]*100</f>
        <v>0</v>
      </c>
      <c r="AU83" s="28"/>
      <c r="AV83" s="28"/>
    </row>
    <row r="84" spans="1:48" x14ac:dyDescent="0.3">
      <c r="C84" s="27" t="e">
        <f>VLOOKUP(Table4[[#This Row],[Marker name]],BaseInfos_Table[#All],6,FALSE)</f>
        <v>#N/A</v>
      </c>
      <c r="G84" s="41" t="e">
        <f>(1*10^7)/Table4[[#This Row],[cm-1]]</f>
        <v>#DIV/0!</v>
      </c>
      <c r="I84" s="41" t="e">
        <f>(1*10^7)/Table4[[#This Row],[cm-2]]</f>
        <v>#DIV/0!</v>
      </c>
      <c r="K84" s="41" t="e">
        <f>(1*10^7)/Table4[[#This Row],[cm-3]]</f>
        <v>#DIV/0!</v>
      </c>
      <c r="R84" s="41" t="e">
        <f>(1*10^7)/Table4[[#This Row],[nm2]]</f>
        <v>#DIV/0!</v>
      </c>
      <c r="T84" s="41" t="e">
        <f>(1*10^7)/Table4[[#This Row],[nm12]]</f>
        <v>#DIV/0!</v>
      </c>
      <c r="Z84" s="28"/>
      <c r="AA84" s="28"/>
      <c r="AB84" s="28" t="e">
        <f>(1/Table4[[#This Row],[nm5]])*10^7</f>
        <v>#DIV/0!</v>
      </c>
      <c r="AC84" s="28"/>
      <c r="AD84" s="28" t="e">
        <f>(1/Table4[[#This Row],[nm8]])*10^7</f>
        <v>#DIV/0!</v>
      </c>
      <c r="AE84" s="28"/>
      <c r="AF84" s="28" t="e">
        <f>(1/Table4[[#This Row],[nm9]])*10^7</f>
        <v>#DIV/0!</v>
      </c>
      <c r="AG84" s="28"/>
      <c r="AH84" s="28"/>
      <c r="AI84" s="28" t="e">
        <f>(1/Table4[[#This Row],[nm4]])*10^7</f>
        <v>#DIV/0!</v>
      </c>
      <c r="AJ84" s="28"/>
      <c r="AK84" s="28" t="e">
        <f>(1/Table4[[#This Row],[nm14]])*10^7</f>
        <v>#DIV/0!</v>
      </c>
      <c r="AL84" s="28"/>
      <c r="AM84" s="28"/>
      <c r="AN84" s="28" t="e">
        <f>(1/Table4[[#This Row],[nm28]])*10^7</f>
        <v>#DIV/0!</v>
      </c>
      <c r="AO84" s="28"/>
      <c r="AP84" s="28" t="e">
        <f>(1/Table4[[#This Row],[nm10]])*10^7</f>
        <v>#DIV/0!</v>
      </c>
      <c r="AQ84" s="28"/>
      <c r="AR84" s="28" t="e">
        <f>(1/Table4[[#This Row],[nm11]])*10^7</f>
        <v>#DIV/0!</v>
      </c>
      <c r="AS84" s="28"/>
      <c r="AT84" s="28">
        <f>Table4[[#This Row],[Φ]]*100</f>
        <v>0</v>
      </c>
      <c r="AU84" s="28"/>
      <c r="AV84" s="28"/>
    </row>
    <row r="85" spans="1:48" x14ac:dyDescent="0.3">
      <c r="C85" s="27" t="e">
        <f>VLOOKUP(Table4[[#This Row],[Marker name]],BaseInfos_Table[#All],6,FALSE)</f>
        <v>#N/A</v>
      </c>
      <c r="G85" s="41" t="e">
        <f>(1*10^7)/Table4[[#This Row],[cm-1]]</f>
        <v>#DIV/0!</v>
      </c>
      <c r="I85" s="41" t="e">
        <f>(1*10^7)/Table4[[#This Row],[cm-2]]</f>
        <v>#DIV/0!</v>
      </c>
      <c r="K85" s="41" t="e">
        <f>(1*10^7)/Table4[[#This Row],[cm-3]]</f>
        <v>#DIV/0!</v>
      </c>
      <c r="R85" s="41" t="e">
        <f>(1*10^7)/Table4[[#This Row],[nm2]]</f>
        <v>#DIV/0!</v>
      </c>
      <c r="T85" s="41" t="e">
        <f>(1*10^7)/Table4[[#This Row],[nm12]]</f>
        <v>#DIV/0!</v>
      </c>
      <c r="Z85" s="28"/>
      <c r="AA85" s="28"/>
      <c r="AB85" s="28" t="e">
        <f>(1/Table4[[#This Row],[nm5]])*10^7</f>
        <v>#DIV/0!</v>
      </c>
      <c r="AC85" s="28"/>
      <c r="AD85" s="28" t="e">
        <f>(1/Table4[[#This Row],[nm8]])*10^7</f>
        <v>#DIV/0!</v>
      </c>
      <c r="AE85" s="28"/>
      <c r="AF85" s="28" t="e">
        <f>(1/Table4[[#This Row],[nm9]])*10^7</f>
        <v>#DIV/0!</v>
      </c>
      <c r="AG85" s="28"/>
      <c r="AH85" s="28"/>
      <c r="AI85" s="28" t="e">
        <f>(1/Table4[[#This Row],[nm4]])*10^7</f>
        <v>#DIV/0!</v>
      </c>
      <c r="AJ85" s="28"/>
      <c r="AK85" s="28" t="e">
        <f>(1/Table4[[#This Row],[nm14]])*10^7</f>
        <v>#DIV/0!</v>
      </c>
      <c r="AL85" s="28"/>
      <c r="AM85" s="28"/>
      <c r="AN85" s="28" t="e">
        <f>(1/Table4[[#This Row],[nm28]])*10^7</f>
        <v>#DIV/0!</v>
      </c>
      <c r="AO85" s="28"/>
      <c r="AP85" s="28" t="e">
        <f>(1/Table4[[#This Row],[nm10]])*10^7</f>
        <v>#DIV/0!</v>
      </c>
      <c r="AQ85" s="28"/>
      <c r="AR85" s="28" t="e">
        <f>(1/Table4[[#This Row],[nm11]])*10^7</f>
        <v>#DIV/0!</v>
      </c>
      <c r="AS85" s="28"/>
      <c r="AT85" s="28">
        <f>Table4[[#This Row],[Φ]]*100</f>
        <v>0</v>
      </c>
      <c r="AU85" s="28"/>
      <c r="AV85" s="28"/>
    </row>
    <row r="86" spans="1:48" x14ac:dyDescent="0.3">
      <c r="C86" s="27" t="e">
        <f>VLOOKUP(Table4[[#This Row],[Marker name]],BaseInfos_Table[#All],6,FALSE)</f>
        <v>#N/A</v>
      </c>
      <c r="G86" s="41" t="e">
        <f>(1*10^7)/Table4[[#This Row],[cm-1]]</f>
        <v>#DIV/0!</v>
      </c>
      <c r="I86" s="41" t="e">
        <f>(1*10^7)/Table4[[#This Row],[cm-2]]</f>
        <v>#DIV/0!</v>
      </c>
      <c r="K86" s="41" t="e">
        <f>(1*10^7)/Table4[[#This Row],[cm-3]]</f>
        <v>#DIV/0!</v>
      </c>
      <c r="R86" s="41" t="e">
        <f>(1*10^7)/Table4[[#This Row],[nm2]]</f>
        <v>#DIV/0!</v>
      </c>
      <c r="T86" s="41" t="e">
        <f>(1*10^7)/Table4[[#This Row],[nm12]]</f>
        <v>#DIV/0!</v>
      </c>
      <c r="Z86" s="28"/>
      <c r="AA86" s="28"/>
      <c r="AB86" s="28" t="e">
        <f>(1/Table4[[#This Row],[nm5]])*10^7</f>
        <v>#DIV/0!</v>
      </c>
      <c r="AC86" s="28"/>
      <c r="AD86" s="28" t="e">
        <f>(1/Table4[[#This Row],[nm8]])*10^7</f>
        <v>#DIV/0!</v>
      </c>
      <c r="AE86" s="28"/>
      <c r="AF86" s="28" t="e">
        <f>(1/Table4[[#This Row],[nm9]])*10^7</f>
        <v>#DIV/0!</v>
      </c>
      <c r="AG86" s="28"/>
      <c r="AH86" s="28"/>
      <c r="AI86" s="28" t="e">
        <f>(1/Table4[[#This Row],[nm4]])*10^7</f>
        <v>#DIV/0!</v>
      </c>
      <c r="AJ86" s="28"/>
      <c r="AK86" s="28" t="e">
        <f>(1/Table4[[#This Row],[nm14]])*10^7</f>
        <v>#DIV/0!</v>
      </c>
      <c r="AL86" s="28"/>
      <c r="AM86" s="28"/>
      <c r="AN86" s="28" t="e">
        <f>(1/Table4[[#This Row],[nm28]])*10^7</f>
        <v>#DIV/0!</v>
      </c>
      <c r="AO86" s="28"/>
      <c r="AP86" s="28" t="e">
        <f>(1/Table4[[#This Row],[nm10]])*10^7</f>
        <v>#DIV/0!</v>
      </c>
      <c r="AQ86" s="28"/>
      <c r="AR86" s="28" t="e">
        <f>(1/Table4[[#This Row],[nm11]])*10^7</f>
        <v>#DIV/0!</v>
      </c>
      <c r="AS86" s="28"/>
      <c r="AT86" s="28">
        <f>Table4[[#This Row],[Φ]]*100</f>
        <v>0</v>
      </c>
      <c r="AU86" s="28"/>
      <c r="AV86" s="28"/>
    </row>
    <row r="87" spans="1:48" x14ac:dyDescent="0.3">
      <c r="C87" s="27" t="e">
        <f>VLOOKUP(Table4[[#This Row],[Marker name]],BaseInfos_Table[#All],6,FALSE)</f>
        <v>#N/A</v>
      </c>
      <c r="G87" s="41" t="e">
        <f>(1*10^7)/Table4[[#This Row],[cm-1]]</f>
        <v>#DIV/0!</v>
      </c>
      <c r="I87" s="41" t="e">
        <f>(1*10^7)/Table4[[#This Row],[cm-2]]</f>
        <v>#DIV/0!</v>
      </c>
      <c r="K87" s="41" t="e">
        <f>(1*10^7)/Table4[[#This Row],[cm-3]]</f>
        <v>#DIV/0!</v>
      </c>
      <c r="R87" s="41" t="e">
        <f>(1*10^7)/Table4[[#This Row],[nm2]]</f>
        <v>#DIV/0!</v>
      </c>
      <c r="T87" s="41" t="e">
        <f>(1*10^7)/Table4[[#This Row],[nm12]]</f>
        <v>#DIV/0!</v>
      </c>
      <c r="Z87" s="28"/>
      <c r="AA87" s="28"/>
      <c r="AB87" s="28" t="e">
        <f>(1/Table4[[#This Row],[nm5]])*10^7</f>
        <v>#DIV/0!</v>
      </c>
      <c r="AC87" s="28"/>
      <c r="AD87" s="28" t="e">
        <f>(1/Table4[[#This Row],[nm8]])*10^7</f>
        <v>#DIV/0!</v>
      </c>
      <c r="AE87" s="28"/>
      <c r="AF87" s="28" t="e">
        <f>(1/Table4[[#This Row],[nm9]])*10^7</f>
        <v>#DIV/0!</v>
      </c>
      <c r="AG87" s="28"/>
      <c r="AH87" s="28"/>
      <c r="AI87" s="28" t="e">
        <f>(1/Table4[[#This Row],[nm4]])*10^7</f>
        <v>#DIV/0!</v>
      </c>
      <c r="AJ87" s="28"/>
      <c r="AK87" s="28" t="e">
        <f>(1/Table4[[#This Row],[nm14]])*10^7</f>
        <v>#DIV/0!</v>
      </c>
      <c r="AL87" s="28"/>
      <c r="AM87" s="28"/>
      <c r="AN87" s="28" t="e">
        <f>(1/Table4[[#This Row],[nm28]])*10^7</f>
        <v>#DIV/0!</v>
      </c>
      <c r="AO87" s="28"/>
      <c r="AP87" s="28" t="e">
        <f>(1/Table4[[#This Row],[nm10]])*10^7</f>
        <v>#DIV/0!</v>
      </c>
      <c r="AQ87" s="28"/>
      <c r="AR87" s="28" t="e">
        <f>(1/Table4[[#This Row],[nm11]])*10^7</f>
        <v>#DIV/0!</v>
      </c>
      <c r="AS87" s="28"/>
      <c r="AT87" s="28">
        <f>Table4[[#This Row],[Φ]]*100</f>
        <v>0</v>
      </c>
      <c r="AU87" s="28"/>
      <c r="AV87" s="28"/>
    </row>
    <row r="88" spans="1:48" x14ac:dyDescent="0.3">
      <c r="C88" s="27" t="e">
        <f>VLOOKUP(Table4[[#This Row],[Marker name]],BaseInfos_Table[#All],6,FALSE)</f>
        <v>#N/A</v>
      </c>
      <c r="G88" s="41" t="e">
        <f>(1*10^7)/Table4[[#This Row],[cm-1]]</f>
        <v>#DIV/0!</v>
      </c>
      <c r="I88" s="41" t="e">
        <f>(1*10^7)/Table4[[#This Row],[cm-2]]</f>
        <v>#DIV/0!</v>
      </c>
      <c r="K88" s="41" t="e">
        <f>(1*10^7)/Table4[[#This Row],[cm-3]]</f>
        <v>#DIV/0!</v>
      </c>
      <c r="R88" s="41" t="e">
        <f>(1*10^7)/Table4[[#This Row],[nm2]]</f>
        <v>#DIV/0!</v>
      </c>
      <c r="T88" s="41" t="e">
        <f>(1*10^7)/Table4[[#This Row],[nm12]]</f>
        <v>#DIV/0!</v>
      </c>
      <c r="Z88" s="28"/>
      <c r="AA88" s="28"/>
      <c r="AB88" s="28" t="e">
        <f>(1/Table4[[#This Row],[nm5]])*10^7</f>
        <v>#DIV/0!</v>
      </c>
      <c r="AC88" s="28"/>
      <c r="AD88" s="28" t="e">
        <f>(1/Table4[[#This Row],[nm8]])*10^7</f>
        <v>#DIV/0!</v>
      </c>
      <c r="AE88" s="28"/>
      <c r="AF88" s="28" t="e">
        <f>(1/Table4[[#This Row],[nm9]])*10^7</f>
        <v>#DIV/0!</v>
      </c>
      <c r="AG88" s="28"/>
      <c r="AH88" s="28"/>
      <c r="AI88" s="28" t="e">
        <f>(1/Table4[[#This Row],[nm4]])*10^7</f>
        <v>#DIV/0!</v>
      </c>
      <c r="AJ88" s="28"/>
      <c r="AK88" s="28" t="e">
        <f>(1/Table4[[#This Row],[nm14]])*10^7</f>
        <v>#DIV/0!</v>
      </c>
      <c r="AL88" s="28"/>
      <c r="AM88" s="28"/>
      <c r="AN88" s="28" t="e">
        <f>(1/Table4[[#This Row],[nm28]])*10^7</f>
        <v>#DIV/0!</v>
      </c>
      <c r="AO88" s="28"/>
      <c r="AP88" s="28" t="e">
        <f>(1/Table4[[#This Row],[nm10]])*10^7</f>
        <v>#DIV/0!</v>
      </c>
      <c r="AQ88" s="28"/>
      <c r="AR88" s="28" t="e">
        <f>(1/Table4[[#This Row],[nm11]])*10^7</f>
        <v>#DIV/0!</v>
      </c>
      <c r="AS88" s="28"/>
      <c r="AT88" s="28">
        <f>Table4[[#This Row],[Φ]]*100</f>
        <v>0</v>
      </c>
      <c r="AU88" s="28"/>
      <c r="AV88" s="28"/>
    </row>
    <row r="89" spans="1:48" x14ac:dyDescent="0.3">
      <c r="C89" s="27" t="e">
        <f>VLOOKUP(Table4[[#This Row],[Marker name]],BaseInfos_Table[#All],6,FALSE)</f>
        <v>#N/A</v>
      </c>
      <c r="G89" s="41" t="e">
        <f>(1*10^7)/Table4[[#This Row],[cm-1]]</f>
        <v>#DIV/0!</v>
      </c>
      <c r="I89" s="41" t="e">
        <f>(1*10^7)/Table4[[#This Row],[cm-2]]</f>
        <v>#DIV/0!</v>
      </c>
      <c r="K89" s="41" t="e">
        <f>(1*10^7)/Table4[[#This Row],[cm-3]]</f>
        <v>#DIV/0!</v>
      </c>
      <c r="R89" s="41" t="e">
        <f>(1*10^7)/Table4[[#This Row],[nm2]]</f>
        <v>#DIV/0!</v>
      </c>
      <c r="T89" s="41" t="e">
        <f>(1*10^7)/Table4[[#This Row],[nm12]]</f>
        <v>#DIV/0!</v>
      </c>
      <c r="Z89" s="28"/>
      <c r="AA89" s="28"/>
      <c r="AB89" s="28" t="e">
        <f>(1/Table4[[#This Row],[nm5]])*10^7</f>
        <v>#DIV/0!</v>
      </c>
      <c r="AC89" s="28"/>
      <c r="AD89" s="28" t="e">
        <f>(1/Table4[[#This Row],[nm8]])*10^7</f>
        <v>#DIV/0!</v>
      </c>
      <c r="AE89" s="28"/>
      <c r="AF89" s="28" t="e">
        <f>(1/Table4[[#This Row],[nm9]])*10^7</f>
        <v>#DIV/0!</v>
      </c>
      <c r="AG89" s="28"/>
      <c r="AH89" s="28"/>
      <c r="AI89" s="28" t="e">
        <f>(1/Table4[[#This Row],[nm4]])*10^7</f>
        <v>#DIV/0!</v>
      </c>
      <c r="AJ89" s="28"/>
      <c r="AK89" s="28" t="e">
        <f>(1/Table4[[#This Row],[nm14]])*10^7</f>
        <v>#DIV/0!</v>
      </c>
      <c r="AL89" s="28"/>
      <c r="AM89" s="28"/>
      <c r="AN89" s="28" t="e">
        <f>(1/Table4[[#This Row],[nm28]])*10^7</f>
        <v>#DIV/0!</v>
      </c>
      <c r="AO89" s="28"/>
      <c r="AP89" s="28" t="e">
        <f>(1/Table4[[#This Row],[nm10]])*10^7</f>
        <v>#DIV/0!</v>
      </c>
      <c r="AQ89" s="28"/>
      <c r="AR89" s="28" t="e">
        <f>(1/Table4[[#This Row],[nm11]])*10^7</f>
        <v>#DIV/0!</v>
      </c>
      <c r="AS89" s="28"/>
      <c r="AT89" s="28">
        <f>Table4[[#This Row],[Φ]]*100</f>
        <v>0</v>
      </c>
      <c r="AU89" s="28"/>
      <c r="AV89" s="28"/>
    </row>
    <row r="90" spans="1:48" x14ac:dyDescent="0.3">
      <c r="C90" s="27" t="e">
        <f>VLOOKUP(Table4[[#This Row],[Marker name]],BaseInfos_Table[#All],6,FALSE)</f>
        <v>#N/A</v>
      </c>
      <c r="G90" s="41" t="e">
        <f>(1*10^7)/Table4[[#This Row],[cm-1]]</f>
        <v>#DIV/0!</v>
      </c>
      <c r="I90" s="41" t="e">
        <f>(1*10^7)/Table4[[#This Row],[cm-2]]</f>
        <v>#DIV/0!</v>
      </c>
      <c r="K90" s="41" t="e">
        <f>(1*10^7)/Table4[[#This Row],[cm-3]]</f>
        <v>#DIV/0!</v>
      </c>
      <c r="R90" s="41" t="e">
        <f>(1*10^7)/Table4[[#This Row],[nm2]]</f>
        <v>#DIV/0!</v>
      </c>
      <c r="T90" s="41" t="e">
        <f>(1*10^7)/Table4[[#This Row],[nm12]]</f>
        <v>#DIV/0!</v>
      </c>
      <c r="Z90" s="28"/>
      <c r="AA90" s="28"/>
      <c r="AB90" s="28" t="e">
        <f>(1/Table4[[#This Row],[nm5]])*10^7</f>
        <v>#DIV/0!</v>
      </c>
      <c r="AC90" s="28"/>
      <c r="AD90" s="28" t="e">
        <f>(1/Table4[[#This Row],[nm8]])*10^7</f>
        <v>#DIV/0!</v>
      </c>
      <c r="AE90" s="28"/>
      <c r="AF90" s="28" t="e">
        <f>(1/Table4[[#This Row],[nm9]])*10^7</f>
        <v>#DIV/0!</v>
      </c>
      <c r="AG90" s="28"/>
      <c r="AH90" s="28"/>
      <c r="AI90" s="28" t="e">
        <f>(1/Table4[[#This Row],[nm4]])*10^7</f>
        <v>#DIV/0!</v>
      </c>
      <c r="AJ90" s="28"/>
      <c r="AK90" s="28" t="e">
        <f>(1/Table4[[#This Row],[nm14]])*10^7</f>
        <v>#DIV/0!</v>
      </c>
      <c r="AL90" s="28"/>
      <c r="AM90" s="28"/>
      <c r="AN90" s="28" t="e">
        <f>(1/Table4[[#This Row],[nm28]])*10^7</f>
        <v>#DIV/0!</v>
      </c>
      <c r="AO90" s="28"/>
      <c r="AP90" s="28" t="e">
        <f>(1/Table4[[#This Row],[nm10]])*10^7</f>
        <v>#DIV/0!</v>
      </c>
      <c r="AQ90" s="28"/>
      <c r="AR90" s="28" t="e">
        <f>(1/Table4[[#This Row],[nm11]])*10^7</f>
        <v>#DIV/0!</v>
      </c>
      <c r="AS90" s="28"/>
      <c r="AT90" s="28">
        <f>Table4[[#This Row],[Φ]]*100</f>
        <v>0</v>
      </c>
      <c r="AU90" s="28"/>
      <c r="AV90" s="28"/>
    </row>
    <row r="91" spans="1:48" x14ac:dyDescent="0.3">
      <c r="C91" s="27" t="e">
        <f>VLOOKUP(Table4[[#This Row],[Marker name]],BaseInfos_Table[#All],6,FALSE)</f>
        <v>#N/A</v>
      </c>
      <c r="G91" s="41" t="e">
        <f>(1*10^7)/Table4[[#This Row],[cm-1]]</f>
        <v>#DIV/0!</v>
      </c>
      <c r="I91" s="41" t="e">
        <f>(1*10^7)/Table4[[#This Row],[cm-2]]</f>
        <v>#DIV/0!</v>
      </c>
      <c r="K91" s="41" t="e">
        <f>(1*10^7)/Table4[[#This Row],[cm-3]]</f>
        <v>#DIV/0!</v>
      </c>
      <c r="R91" s="41" t="e">
        <f>(1*10^7)/Table4[[#This Row],[nm2]]</f>
        <v>#DIV/0!</v>
      </c>
      <c r="T91" s="41" t="e">
        <f>(1*10^7)/Table4[[#This Row],[nm12]]</f>
        <v>#DIV/0!</v>
      </c>
      <c r="Z91" s="28"/>
      <c r="AA91" s="28"/>
      <c r="AB91" s="28" t="e">
        <f>(1/Table4[[#This Row],[nm5]])*10^7</f>
        <v>#DIV/0!</v>
      </c>
      <c r="AC91" s="28"/>
      <c r="AD91" s="28" t="e">
        <f>(1/Table4[[#This Row],[nm8]])*10^7</f>
        <v>#DIV/0!</v>
      </c>
      <c r="AE91" s="28"/>
      <c r="AF91" s="28" t="e">
        <f>(1/Table4[[#This Row],[nm9]])*10^7</f>
        <v>#DIV/0!</v>
      </c>
      <c r="AG91" s="28"/>
      <c r="AH91" s="28"/>
      <c r="AI91" s="28" t="e">
        <f>(1/Table4[[#This Row],[nm4]])*10^7</f>
        <v>#DIV/0!</v>
      </c>
      <c r="AJ91" s="28"/>
      <c r="AK91" s="28" t="e">
        <f>(1/Table4[[#This Row],[nm14]])*10^7</f>
        <v>#DIV/0!</v>
      </c>
      <c r="AL91" s="28"/>
      <c r="AM91" s="28"/>
      <c r="AN91" s="28" t="e">
        <f>(1/Table4[[#This Row],[nm28]])*10^7</f>
        <v>#DIV/0!</v>
      </c>
      <c r="AO91" s="28"/>
      <c r="AP91" s="28" t="e">
        <f>(1/Table4[[#This Row],[nm10]])*10^7</f>
        <v>#DIV/0!</v>
      </c>
      <c r="AQ91" s="28"/>
      <c r="AR91" s="28" t="e">
        <f>(1/Table4[[#This Row],[nm11]])*10^7</f>
        <v>#DIV/0!</v>
      </c>
      <c r="AS91" s="28"/>
      <c r="AT91" s="28">
        <f>Table4[[#This Row],[Φ]]*100</f>
        <v>0</v>
      </c>
      <c r="AU91" s="28"/>
      <c r="AV91" s="28"/>
    </row>
    <row r="92" spans="1:48" x14ac:dyDescent="0.3">
      <c r="C92" s="27" t="e">
        <f>VLOOKUP(Table4[[#This Row],[Marker name]],BaseInfos_Table[#All],6,FALSE)</f>
        <v>#N/A</v>
      </c>
      <c r="G92" s="41" t="e">
        <f>(1*10^7)/Table4[[#This Row],[cm-1]]</f>
        <v>#DIV/0!</v>
      </c>
      <c r="I92" s="41" t="e">
        <f>(1*10^7)/Table4[[#This Row],[cm-2]]</f>
        <v>#DIV/0!</v>
      </c>
      <c r="K92" s="41" t="e">
        <f>(1*10^7)/Table4[[#This Row],[cm-3]]</f>
        <v>#DIV/0!</v>
      </c>
      <c r="R92" s="41" t="e">
        <f>(1*10^7)/Table4[[#This Row],[nm2]]</f>
        <v>#DIV/0!</v>
      </c>
      <c r="T92" s="41" t="e">
        <f>(1*10^7)/Table4[[#This Row],[nm12]]</f>
        <v>#DIV/0!</v>
      </c>
      <c r="Z92" s="28"/>
      <c r="AA92" s="28"/>
      <c r="AB92" s="28" t="e">
        <f>(1/Table4[[#This Row],[nm5]])*10^7</f>
        <v>#DIV/0!</v>
      </c>
      <c r="AC92" s="28"/>
      <c r="AD92" s="28" t="e">
        <f>(1/Table4[[#This Row],[nm8]])*10^7</f>
        <v>#DIV/0!</v>
      </c>
      <c r="AE92" s="28"/>
      <c r="AF92" s="28" t="e">
        <f>(1/Table4[[#This Row],[nm9]])*10^7</f>
        <v>#DIV/0!</v>
      </c>
      <c r="AG92" s="28"/>
      <c r="AH92" s="28"/>
      <c r="AI92" s="28" t="e">
        <f>(1/Table4[[#This Row],[nm4]])*10^7</f>
        <v>#DIV/0!</v>
      </c>
      <c r="AJ92" s="28"/>
      <c r="AK92" s="28" t="e">
        <f>(1/Table4[[#This Row],[nm14]])*10^7</f>
        <v>#DIV/0!</v>
      </c>
      <c r="AL92" s="28"/>
      <c r="AM92" s="28"/>
      <c r="AN92" s="28" t="e">
        <f>(1/Table4[[#This Row],[nm28]])*10^7</f>
        <v>#DIV/0!</v>
      </c>
      <c r="AO92" s="28"/>
      <c r="AP92" s="28" t="e">
        <f>(1/Table4[[#This Row],[nm10]])*10^7</f>
        <v>#DIV/0!</v>
      </c>
      <c r="AQ92" s="28"/>
      <c r="AR92" s="28" t="e">
        <f>(1/Table4[[#This Row],[nm11]])*10^7</f>
        <v>#DIV/0!</v>
      </c>
      <c r="AS92" s="28"/>
      <c r="AT92" s="28">
        <f>Table4[[#This Row],[Φ]]*100</f>
        <v>0</v>
      </c>
      <c r="AU92" s="28"/>
      <c r="AV92" s="28"/>
    </row>
    <row r="93" spans="1:48" x14ac:dyDescent="0.3">
      <c r="C93" s="27" t="e">
        <f>VLOOKUP(Table4[[#This Row],[Marker name]],BaseInfos_Table[#All],6,FALSE)</f>
        <v>#N/A</v>
      </c>
      <c r="G93" s="41" t="e">
        <f>(1*10^7)/Table4[[#This Row],[cm-1]]</f>
        <v>#DIV/0!</v>
      </c>
      <c r="I93" s="41" t="e">
        <f>(1*10^7)/Table4[[#This Row],[cm-2]]</f>
        <v>#DIV/0!</v>
      </c>
      <c r="K93" s="41" t="e">
        <f>(1*10^7)/Table4[[#This Row],[cm-3]]</f>
        <v>#DIV/0!</v>
      </c>
      <c r="R93" s="41" t="e">
        <f>(1*10^7)/Table4[[#This Row],[nm2]]</f>
        <v>#DIV/0!</v>
      </c>
      <c r="T93" s="41" t="e">
        <f>(1*10^7)/Table4[[#This Row],[nm12]]</f>
        <v>#DIV/0!</v>
      </c>
      <c r="Z93" s="28"/>
      <c r="AA93" s="28"/>
      <c r="AB93" s="28" t="e">
        <f>(1/Table4[[#This Row],[nm5]])*10^7</f>
        <v>#DIV/0!</v>
      </c>
      <c r="AC93" s="28"/>
      <c r="AD93" s="28" t="e">
        <f>(1/Table4[[#This Row],[nm8]])*10^7</f>
        <v>#DIV/0!</v>
      </c>
      <c r="AE93" s="28"/>
      <c r="AF93" s="28" t="e">
        <f>(1/Table4[[#This Row],[nm9]])*10^7</f>
        <v>#DIV/0!</v>
      </c>
      <c r="AG93" s="28"/>
      <c r="AH93" s="28"/>
      <c r="AI93" s="28" t="e">
        <f>(1/Table4[[#This Row],[nm4]])*10^7</f>
        <v>#DIV/0!</v>
      </c>
      <c r="AJ93" s="28"/>
      <c r="AK93" s="28" t="e">
        <f>(1/Table4[[#This Row],[nm14]])*10^7</f>
        <v>#DIV/0!</v>
      </c>
      <c r="AL93" s="28"/>
      <c r="AM93" s="28"/>
      <c r="AN93" s="28" t="e">
        <f>(1/Table4[[#This Row],[nm28]])*10^7</f>
        <v>#DIV/0!</v>
      </c>
      <c r="AO93" s="28"/>
      <c r="AP93" s="28" t="e">
        <f>(1/Table4[[#This Row],[nm10]])*10^7</f>
        <v>#DIV/0!</v>
      </c>
      <c r="AQ93" s="28"/>
      <c r="AR93" s="28" t="e">
        <f>(1/Table4[[#This Row],[nm11]])*10^7</f>
        <v>#DIV/0!</v>
      </c>
      <c r="AS93" s="28"/>
      <c r="AT93" s="28">
        <f>Table4[[#This Row],[Φ]]*100</f>
        <v>0</v>
      </c>
      <c r="AU93" s="28"/>
      <c r="AV93" s="28"/>
    </row>
    <row r="94" spans="1:48" x14ac:dyDescent="0.3">
      <c r="C94" s="27" t="e">
        <f>VLOOKUP(Table4[[#This Row],[Marker name]],BaseInfos_Table[#All],6,FALSE)</f>
        <v>#N/A</v>
      </c>
      <c r="G94" s="41" t="e">
        <f>(1*10^7)/Table4[[#This Row],[cm-1]]</f>
        <v>#DIV/0!</v>
      </c>
      <c r="I94" s="41" t="e">
        <f>(1*10^7)/Table4[[#This Row],[cm-2]]</f>
        <v>#DIV/0!</v>
      </c>
      <c r="K94" s="41" t="e">
        <f>(1*10^7)/Table4[[#This Row],[cm-3]]</f>
        <v>#DIV/0!</v>
      </c>
      <c r="R94" s="41" t="e">
        <f>(1*10^7)/Table4[[#This Row],[nm2]]</f>
        <v>#DIV/0!</v>
      </c>
      <c r="T94" s="41" t="e">
        <f>(1*10^7)/Table4[[#This Row],[nm12]]</f>
        <v>#DIV/0!</v>
      </c>
      <c r="Z94" s="28"/>
      <c r="AA94" s="28"/>
      <c r="AB94" s="28" t="e">
        <f>(1/Table4[[#This Row],[nm5]])*10^7</f>
        <v>#DIV/0!</v>
      </c>
      <c r="AC94" s="28"/>
      <c r="AD94" s="28" t="e">
        <f>(1/Table4[[#This Row],[nm8]])*10^7</f>
        <v>#DIV/0!</v>
      </c>
      <c r="AE94" s="28"/>
      <c r="AF94" s="28" t="e">
        <f>(1/Table4[[#This Row],[nm9]])*10^7</f>
        <v>#DIV/0!</v>
      </c>
      <c r="AG94" s="28"/>
      <c r="AH94" s="28"/>
      <c r="AI94" s="28" t="e">
        <f>(1/Table4[[#This Row],[nm4]])*10^7</f>
        <v>#DIV/0!</v>
      </c>
      <c r="AJ94" s="28"/>
      <c r="AK94" s="28" t="e">
        <f>(1/Table4[[#This Row],[nm14]])*10^7</f>
        <v>#DIV/0!</v>
      </c>
      <c r="AL94" s="28"/>
      <c r="AM94" s="28"/>
      <c r="AN94" s="28" t="e">
        <f>(1/Table4[[#This Row],[nm28]])*10^7</f>
        <v>#DIV/0!</v>
      </c>
      <c r="AO94" s="28"/>
      <c r="AP94" s="28" t="e">
        <f>(1/Table4[[#This Row],[nm10]])*10^7</f>
        <v>#DIV/0!</v>
      </c>
      <c r="AQ94" s="28"/>
      <c r="AR94" s="28" t="e">
        <f>(1/Table4[[#This Row],[nm11]])*10^7</f>
        <v>#DIV/0!</v>
      </c>
      <c r="AS94" s="28"/>
      <c r="AT94" s="28">
        <f>Table4[[#This Row],[Φ]]*100</f>
        <v>0</v>
      </c>
      <c r="AU94" s="28"/>
      <c r="AV94" s="28"/>
    </row>
    <row r="95" spans="1:48" x14ac:dyDescent="0.3">
      <c r="C95" s="27" t="e">
        <f>VLOOKUP(Table4[[#This Row],[Marker name]],BaseInfos_Table[#All],6,FALSE)</f>
        <v>#N/A</v>
      </c>
      <c r="G95" s="41" t="e">
        <f>(1*10^7)/Table4[[#This Row],[cm-1]]</f>
        <v>#DIV/0!</v>
      </c>
      <c r="I95" s="41" t="e">
        <f>(1*10^7)/Table4[[#This Row],[cm-2]]</f>
        <v>#DIV/0!</v>
      </c>
      <c r="K95" s="41" t="e">
        <f>(1*10^7)/Table4[[#This Row],[cm-3]]</f>
        <v>#DIV/0!</v>
      </c>
      <c r="R95" s="41" t="e">
        <f>(1*10^7)/Table4[[#This Row],[nm2]]</f>
        <v>#DIV/0!</v>
      </c>
      <c r="T95" s="41" t="e">
        <f>(1*10^7)/Table4[[#This Row],[nm12]]</f>
        <v>#DIV/0!</v>
      </c>
      <c r="Z95" s="28"/>
      <c r="AA95" s="28"/>
      <c r="AB95" s="28" t="e">
        <f>(1/Table4[[#This Row],[nm5]])*10^7</f>
        <v>#DIV/0!</v>
      </c>
      <c r="AC95" s="28"/>
      <c r="AD95" s="28" t="e">
        <f>(1/Table4[[#This Row],[nm8]])*10^7</f>
        <v>#DIV/0!</v>
      </c>
      <c r="AE95" s="28"/>
      <c r="AF95" s="28" t="e">
        <f>(1/Table4[[#This Row],[nm9]])*10^7</f>
        <v>#DIV/0!</v>
      </c>
      <c r="AG95" s="28"/>
      <c r="AH95" s="28"/>
      <c r="AI95" s="28" t="e">
        <f>(1/Table4[[#This Row],[nm4]])*10^7</f>
        <v>#DIV/0!</v>
      </c>
      <c r="AJ95" s="28"/>
      <c r="AK95" s="28" t="e">
        <f>(1/Table4[[#This Row],[nm14]])*10^7</f>
        <v>#DIV/0!</v>
      </c>
      <c r="AL95" s="28"/>
      <c r="AM95" s="28"/>
      <c r="AN95" s="28" t="e">
        <f>(1/Table4[[#This Row],[nm28]])*10^7</f>
        <v>#DIV/0!</v>
      </c>
      <c r="AO95" s="28"/>
      <c r="AP95" s="28" t="e">
        <f>(1/Table4[[#This Row],[nm10]])*10^7</f>
        <v>#DIV/0!</v>
      </c>
      <c r="AQ95" s="28"/>
      <c r="AR95" s="28" t="e">
        <f>(1/Table4[[#This Row],[nm11]])*10^7</f>
        <v>#DIV/0!</v>
      </c>
      <c r="AS95" s="28"/>
      <c r="AT95" s="28">
        <f>Table4[[#This Row],[Φ]]*100</f>
        <v>0</v>
      </c>
      <c r="AU95" s="28"/>
      <c r="AV95" s="28"/>
    </row>
    <row r="96" spans="1:48" x14ac:dyDescent="0.3">
      <c r="C96" s="27" t="e">
        <f>VLOOKUP(Table4[[#This Row],[Marker name]],BaseInfos_Table[#All],6,FALSE)</f>
        <v>#N/A</v>
      </c>
      <c r="G96" s="41" t="e">
        <f>(1*10^7)/Table4[[#This Row],[cm-1]]</f>
        <v>#DIV/0!</v>
      </c>
      <c r="I96" s="41" t="e">
        <f>(1*10^7)/Table4[[#This Row],[cm-2]]</f>
        <v>#DIV/0!</v>
      </c>
      <c r="K96" s="41" t="e">
        <f>(1*10^7)/Table4[[#This Row],[cm-3]]</f>
        <v>#DIV/0!</v>
      </c>
      <c r="R96" s="41" t="e">
        <f>(1*10^7)/Table4[[#This Row],[nm2]]</f>
        <v>#DIV/0!</v>
      </c>
      <c r="T96" s="41" t="e">
        <f>(1*10^7)/Table4[[#This Row],[nm12]]</f>
        <v>#DIV/0!</v>
      </c>
      <c r="Z96" s="28"/>
      <c r="AA96" s="28"/>
      <c r="AB96" s="28" t="e">
        <f>(1/Table4[[#This Row],[nm5]])*10^7</f>
        <v>#DIV/0!</v>
      </c>
      <c r="AC96" s="28"/>
      <c r="AD96" s="28" t="e">
        <f>(1/Table4[[#This Row],[nm8]])*10^7</f>
        <v>#DIV/0!</v>
      </c>
      <c r="AE96" s="28"/>
      <c r="AF96" s="28" t="e">
        <f>(1/Table4[[#This Row],[nm9]])*10^7</f>
        <v>#DIV/0!</v>
      </c>
      <c r="AG96" s="28"/>
      <c r="AH96" s="28"/>
      <c r="AI96" s="28" t="e">
        <f>(1/Table4[[#This Row],[nm4]])*10^7</f>
        <v>#DIV/0!</v>
      </c>
      <c r="AJ96" s="28"/>
      <c r="AK96" s="28" t="e">
        <f>(1/Table4[[#This Row],[nm14]])*10^7</f>
        <v>#DIV/0!</v>
      </c>
      <c r="AL96" s="28"/>
      <c r="AM96" s="28"/>
      <c r="AN96" s="28" t="e">
        <f>(1/Table4[[#This Row],[nm28]])*10^7</f>
        <v>#DIV/0!</v>
      </c>
      <c r="AO96" s="28"/>
      <c r="AP96" s="28" t="e">
        <f>(1/Table4[[#This Row],[nm10]])*10^7</f>
        <v>#DIV/0!</v>
      </c>
      <c r="AQ96" s="28"/>
      <c r="AR96" s="28" t="e">
        <f>(1/Table4[[#This Row],[nm11]])*10^7</f>
        <v>#DIV/0!</v>
      </c>
      <c r="AS96" s="28"/>
      <c r="AT96" s="28">
        <f>Table4[[#This Row],[Φ]]*100</f>
        <v>0</v>
      </c>
      <c r="AU96" s="28"/>
      <c r="AV96" s="28"/>
    </row>
    <row r="97" spans="3:48" x14ac:dyDescent="0.3">
      <c r="C97" s="27" t="e">
        <f>VLOOKUP(Table4[[#This Row],[Marker name]],BaseInfos_Table[#All],6,FALSE)</f>
        <v>#N/A</v>
      </c>
      <c r="G97" s="41" t="e">
        <f>(1*10^7)/Table4[[#This Row],[cm-1]]</f>
        <v>#DIV/0!</v>
      </c>
      <c r="I97" s="41" t="e">
        <f>(1*10^7)/Table4[[#This Row],[cm-2]]</f>
        <v>#DIV/0!</v>
      </c>
      <c r="K97" s="41" t="e">
        <f>(1*10^7)/Table4[[#This Row],[cm-3]]</f>
        <v>#DIV/0!</v>
      </c>
      <c r="R97" s="41" t="e">
        <f>(1*10^7)/Table4[[#This Row],[nm2]]</f>
        <v>#DIV/0!</v>
      </c>
      <c r="T97" s="41" t="e">
        <f>(1*10^7)/Table4[[#This Row],[nm12]]</f>
        <v>#DIV/0!</v>
      </c>
      <c r="Z97" s="28"/>
      <c r="AA97" s="28"/>
      <c r="AB97" s="28" t="e">
        <f>(1/Table4[[#This Row],[nm5]])*10^7</f>
        <v>#DIV/0!</v>
      </c>
      <c r="AC97" s="28"/>
      <c r="AD97" s="28" t="e">
        <f>(1/Table4[[#This Row],[nm8]])*10^7</f>
        <v>#DIV/0!</v>
      </c>
      <c r="AE97" s="28"/>
      <c r="AF97" s="28" t="e">
        <f>(1/Table4[[#This Row],[nm9]])*10^7</f>
        <v>#DIV/0!</v>
      </c>
      <c r="AG97" s="28"/>
      <c r="AH97" s="28"/>
      <c r="AI97" s="28" t="e">
        <f>(1/Table4[[#This Row],[nm4]])*10^7</f>
        <v>#DIV/0!</v>
      </c>
      <c r="AJ97" s="28"/>
      <c r="AK97" s="28" t="e">
        <f>(1/Table4[[#This Row],[nm14]])*10^7</f>
        <v>#DIV/0!</v>
      </c>
      <c r="AL97" s="28"/>
      <c r="AM97" s="28"/>
      <c r="AN97" s="28" t="e">
        <f>(1/Table4[[#This Row],[nm28]])*10^7</f>
        <v>#DIV/0!</v>
      </c>
      <c r="AO97" s="28"/>
      <c r="AP97" s="28" t="e">
        <f>(1/Table4[[#This Row],[nm10]])*10^7</f>
        <v>#DIV/0!</v>
      </c>
      <c r="AQ97" s="28"/>
      <c r="AR97" s="28" t="e">
        <f>(1/Table4[[#This Row],[nm11]])*10^7</f>
        <v>#DIV/0!</v>
      </c>
      <c r="AS97" s="28"/>
      <c r="AT97" s="28">
        <f>Table4[[#This Row],[Φ]]*100</f>
        <v>0</v>
      </c>
      <c r="AU97" s="28"/>
      <c r="AV97" s="28"/>
    </row>
    <row r="98" spans="3:48" x14ac:dyDescent="0.3">
      <c r="C98" s="27" t="e">
        <f>VLOOKUP(Table4[[#This Row],[Marker name]],BaseInfos_Table[#All],6,FALSE)</f>
        <v>#N/A</v>
      </c>
      <c r="G98" s="41" t="e">
        <f>(1*10^7)/Table4[[#This Row],[cm-1]]</f>
        <v>#DIV/0!</v>
      </c>
      <c r="I98" s="41" t="e">
        <f>(1*10^7)/Table4[[#This Row],[cm-2]]</f>
        <v>#DIV/0!</v>
      </c>
      <c r="K98" s="41" t="e">
        <f>(1*10^7)/Table4[[#This Row],[cm-3]]</f>
        <v>#DIV/0!</v>
      </c>
      <c r="R98" s="41" t="e">
        <f>(1*10^7)/Table4[[#This Row],[nm2]]</f>
        <v>#DIV/0!</v>
      </c>
      <c r="T98" s="41" t="e">
        <f>(1*10^7)/Table4[[#This Row],[nm12]]</f>
        <v>#DIV/0!</v>
      </c>
      <c r="Z98" s="28"/>
      <c r="AA98" s="28"/>
      <c r="AB98" s="28" t="e">
        <f>(1/Table4[[#This Row],[nm5]])*10^7</f>
        <v>#DIV/0!</v>
      </c>
      <c r="AC98" s="28"/>
      <c r="AD98" s="28" t="e">
        <f>(1/Table4[[#This Row],[nm8]])*10^7</f>
        <v>#DIV/0!</v>
      </c>
      <c r="AE98" s="28"/>
      <c r="AF98" s="28" t="e">
        <f>(1/Table4[[#This Row],[nm9]])*10^7</f>
        <v>#DIV/0!</v>
      </c>
      <c r="AG98" s="28"/>
      <c r="AH98" s="28"/>
      <c r="AI98" s="28" t="e">
        <f>(1/Table4[[#This Row],[nm4]])*10^7</f>
        <v>#DIV/0!</v>
      </c>
      <c r="AJ98" s="28"/>
      <c r="AK98" s="28" t="e">
        <f>(1/Table4[[#This Row],[nm14]])*10^7</f>
        <v>#DIV/0!</v>
      </c>
      <c r="AL98" s="28"/>
      <c r="AM98" s="28"/>
      <c r="AN98" s="28" t="e">
        <f>(1/Table4[[#This Row],[nm28]])*10^7</f>
        <v>#DIV/0!</v>
      </c>
      <c r="AO98" s="28"/>
      <c r="AP98" s="28" t="e">
        <f>(1/Table4[[#This Row],[nm10]])*10^7</f>
        <v>#DIV/0!</v>
      </c>
      <c r="AQ98" s="28"/>
      <c r="AR98" s="28" t="e">
        <f>(1/Table4[[#This Row],[nm11]])*10^7</f>
        <v>#DIV/0!</v>
      </c>
      <c r="AS98" s="28"/>
      <c r="AT98" s="28">
        <f>Table4[[#This Row],[Φ]]*100</f>
        <v>0</v>
      </c>
      <c r="AU98" s="28"/>
      <c r="AV98" s="28"/>
    </row>
    <row r="99" spans="3:48" x14ac:dyDescent="0.3">
      <c r="C99" s="27" t="e">
        <f>VLOOKUP(Table4[[#This Row],[Marker name]],BaseInfos_Table[#All],6,FALSE)</f>
        <v>#N/A</v>
      </c>
      <c r="G99" s="41" t="e">
        <f>(1*10^7)/Table4[[#This Row],[cm-1]]</f>
        <v>#DIV/0!</v>
      </c>
      <c r="I99" s="41" t="e">
        <f>(1*10^7)/Table4[[#This Row],[cm-2]]</f>
        <v>#DIV/0!</v>
      </c>
      <c r="K99" s="41" t="e">
        <f>(1*10^7)/Table4[[#This Row],[cm-3]]</f>
        <v>#DIV/0!</v>
      </c>
      <c r="R99" s="41" t="e">
        <f>(1*10^7)/Table4[[#This Row],[nm2]]</f>
        <v>#DIV/0!</v>
      </c>
      <c r="T99" s="41" t="e">
        <f>(1*10^7)/Table4[[#This Row],[nm12]]</f>
        <v>#DIV/0!</v>
      </c>
      <c r="Z99" s="28"/>
      <c r="AA99" s="28"/>
      <c r="AB99" s="28" t="e">
        <f>(1/Table4[[#This Row],[nm5]])*10^7</f>
        <v>#DIV/0!</v>
      </c>
      <c r="AC99" s="28"/>
      <c r="AD99" s="28" t="e">
        <f>(1/Table4[[#This Row],[nm8]])*10^7</f>
        <v>#DIV/0!</v>
      </c>
      <c r="AE99" s="28"/>
      <c r="AF99" s="28" t="e">
        <f>(1/Table4[[#This Row],[nm9]])*10^7</f>
        <v>#DIV/0!</v>
      </c>
      <c r="AG99" s="28"/>
      <c r="AH99" s="28"/>
      <c r="AI99" s="28" t="e">
        <f>(1/Table4[[#This Row],[nm4]])*10^7</f>
        <v>#DIV/0!</v>
      </c>
      <c r="AJ99" s="28"/>
      <c r="AK99" s="28" t="e">
        <f>(1/Table4[[#This Row],[nm14]])*10^7</f>
        <v>#DIV/0!</v>
      </c>
      <c r="AL99" s="28"/>
      <c r="AM99" s="28"/>
      <c r="AN99" s="28" t="e">
        <f>(1/Table4[[#This Row],[nm28]])*10^7</f>
        <v>#DIV/0!</v>
      </c>
      <c r="AO99" s="28"/>
      <c r="AP99" s="28" t="e">
        <f>(1/Table4[[#This Row],[nm10]])*10^7</f>
        <v>#DIV/0!</v>
      </c>
      <c r="AQ99" s="28"/>
      <c r="AR99" s="28" t="e">
        <f>(1/Table4[[#This Row],[nm11]])*10^7</f>
        <v>#DIV/0!</v>
      </c>
      <c r="AS99" s="28"/>
      <c r="AT99" s="28">
        <f>Table4[[#This Row],[Φ]]*100</f>
        <v>0</v>
      </c>
      <c r="AU99" s="28"/>
      <c r="AV99" s="28"/>
    </row>
    <row r="100" spans="3:48" x14ac:dyDescent="0.3">
      <c r="C100" s="27" t="e">
        <f>VLOOKUP(Table4[[#This Row],[Marker name]],BaseInfos_Table[#All],6,FALSE)</f>
        <v>#N/A</v>
      </c>
      <c r="G100" s="41" t="e">
        <f>(1*10^7)/Table4[[#This Row],[cm-1]]</f>
        <v>#DIV/0!</v>
      </c>
      <c r="I100" s="41" t="e">
        <f>(1*10^7)/Table4[[#This Row],[cm-2]]</f>
        <v>#DIV/0!</v>
      </c>
      <c r="K100" s="41" t="e">
        <f>(1*10^7)/Table4[[#This Row],[cm-3]]</f>
        <v>#DIV/0!</v>
      </c>
      <c r="R100" s="41" t="e">
        <f>(1*10^7)/Table4[[#This Row],[nm2]]</f>
        <v>#DIV/0!</v>
      </c>
      <c r="T100" s="41" t="e">
        <f>(1*10^7)/Table4[[#This Row],[nm12]]</f>
        <v>#DIV/0!</v>
      </c>
      <c r="Z100" s="28"/>
      <c r="AA100" s="28"/>
      <c r="AB100" s="28" t="e">
        <f>(1/Table4[[#This Row],[nm5]])*10^7</f>
        <v>#DIV/0!</v>
      </c>
      <c r="AC100" s="28"/>
      <c r="AD100" s="28" t="e">
        <f>(1/Table4[[#This Row],[nm8]])*10^7</f>
        <v>#DIV/0!</v>
      </c>
      <c r="AE100" s="28"/>
      <c r="AF100" s="28" t="e">
        <f>(1/Table4[[#This Row],[nm9]])*10^7</f>
        <v>#DIV/0!</v>
      </c>
      <c r="AG100" s="28"/>
      <c r="AH100" s="28"/>
      <c r="AI100" s="28" t="e">
        <f>(1/Table4[[#This Row],[nm4]])*10^7</f>
        <v>#DIV/0!</v>
      </c>
      <c r="AJ100" s="28"/>
      <c r="AK100" s="28" t="e">
        <f>(1/Table4[[#This Row],[nm14]])*10^7</f>
        <v>#DIV/0!</v>
      </c>
      <c r="AL100" s="28"/>
      <c r="AM100" s="28"/>
      <c r="AN100" s="28" t="e">
        <f>(1/Table4[[#This Row],[nm28]])*10^7</f>
        <v>#DIV/0!</v>
      </c>
      <c r="AO100" s="28"/>
      <c r="AP100" s="28" t="e">
        <f>(1/Table4[[#This Row],[nm10]])*10^7</f>
        <v>#DIV/0!</v>
      </c>
      <c r="AQ100" s="28"/>
      <c r="AR100" s="28" t="e">
        <f>(1/Table4[[#This Row],[nm11]])*10^7</f>
        <v>#DIV/0!</v>
      </c>
      <c r="AS100" s="28"/>
      <c r="AT100" s="28">
        <f>Table4[[#This Row],[Φ]]*100</f>
        <v>0</v>
      </c>
      <c r="AU100" s="28"/>
      <c r="AV100" s="28"/>
    </row>
    <row r="101" spans="3:48" x14ac:dyDescent="0.3">
      <c r="C101" s="27" t="e">
        <f>VLOOKUP(Table4[[#This Row],[Marker name]],BaseInfos_Table[#All],6,FALSE)</f>
        <v>#N/A</v>
      </c>
      <c r="G101" s="41" t="e">
        <f>(1*10^7)/Table4[[#This Row],[cm-1]]</f>
        <v>#DIV/0!</v>
      </c>
      <c r="I101" s="41" t="e">
        <f>(1*10^7)/Table4[[#This Row],[cm-2]]</f>
        <v>#DIV/0!</v>
      </c>
      <c r="K101" s="41" t="e">
        <f>(1*10^7)/Table4[[#This Row],[cm-3]]</f>
        <v>#DIV/0!</v>
      </c>
      <c r="R101" s="41" t="e">
        <f>(1*10^7)/Table4[[#This Row],[nm2]]</f>
        <v>#DIV/0!</v>
      </c>
      <c r="T101" s="41" t="e">
        <f>(1*10^7)/Table4[[#This Row],[nm12]]</f>
        <v>#DIV/0!</v>
      </c>
      <c r="Z101" s="28"/>
      <c r="AA101" s="28"/>
      <c r="AB101" s="28" t="e">
        <f>(1/Table4[[#This Row],[nm5]])*10^7</f>
        <v>#DIV/0!</v>
      </c>
      <c r="AC101" s="28"/>
      <c r="AD101" s="28" t="e">
        <f>(1/Table4[[#This Row],[nm8]])*10^7</f>
        <v>#DIV/0!</v>
      </c>
      <c r="AE101" s="28"/>
      <c r="AF101" s="28" t="e">
        <f>(1/Table4[[#This Row],[nm9]])*10^7</f>
        <v>#DIV/0!</v>
      </c>
      <c r="AG101" s="28"/>
      <c r="AH101" s="28"/>
      <c r="AI101" s="28" t="e">
        <f>(1/Table4[[#This Row],[nm4]])*10^7</f>
        <v>#DIV/0!</v>
      </c>
      <c r="AJ101" s="28"/>
      <c r="AK101" s="28" t="e">
        <f>(1/Table4[[#This Row],[nm14]])*10^7</f>
        <v>#DIV/0!</v>
      </c>
      <c r="AL101" s="28"/>
      <c r="AM101" s="28"/>
      <c r="AN101" s="28" t="e">
        <f>(1/Table4[[#This Row],[nm28]])*10^7</f>
        <v>#DIV/0!</v>
      </c>
      <c r="AO101" s="28"/>
      <c r="AP101" s="28" t="e">
        <f>(1/Table4[[#This Row],[nm10]])*10^7</f>
        <v>#DIV/0!</v>
      </c>
      <c r="AQ101" s="28"/>
      <c r="AR101" s="28" t="e">
        <f>(1/Table4[[#This Row],[nm11]])*10^7</f>
        <v>#DIV/0!</v>
      </c>
      <c r="AS101" s="28"/>
      <c r="AT101" s="28">
        <f>Table4[[#This Row],[Φ]]*100</f>
        <v>0</v>
      </c>
      <c r="AU101" s="28"/>
      <c r="AV101" s="28"/>
    </row>
    <row r="102" spans="3:48" x14ac:dyDescent="0.3">
      <c r="C102" s="27" t="e">
        <f>VLOOKUP(Table4[[#This Row],[Marker name]],BaseInfos_Table[#All],6,FALSE)</f>
        <v>#N/A</v>
      </c>
      <c r="G102" s="41" t="e">
        <f>(1*10^7)/Table4[[#This Row],[cm-1]]</f>
        <v>#DIV/0!</v>
      </c>
      <c r="I102" s="41" t="e">
        <f>(1*10^7)/Table4[[#This Row],[cm-2]]</f>
        <v>#DIV/0!</v>
      </c>
      <c r="K102" s="41" t="e">
        <f>(1*10^7)/Table4[[#This Row],[cm-3]]</f>
        <v>#DIV/0!</v>
      </c>
      <c r="R102" s="41" t="e">
        <f>(1*10^7)/Table4[[#This Row],[nm2]]</f>
        <v>#DIV/0!</v>
      </c>
      <c r="T102" s="41" t="e">
        <f>(1*10^7)/Table4[[#This Row],[nm12]]</f>
        <v>#DIV/0!</v>
      </c>
      <c r="Z102" s="28"/>
      <c r="AA102" s="28"/>
      <c r="AB102" s="28" t="e">
        <f>(1/Table4[[#This Row],[nm5]])*10^7</f>
        <v>#DIV/0!</v>
      </c>
      <c r="AC102" s="28"/>
      <c r="AD102" s="28" t="e">
        <f>(1/Table4[[#This Row],[nm8]])*10^7</f>
        <v>#DIV/0!</v>
      </c>
      <c r="AE102" s="28"/>
      <c r="AF102" s="28" t="e">
        <f>(1/Table4[[#This Row],[nm9]])*10^7</f>
        <v>#DIV/0!</v>
      </c>
      <c r="AG102" s="28"/>
      <c r="AH102" s="28"/>
      <c r="AI102" s="28" t="e">
        <f>(1/Table4[[#This Row],[nm4]])*10^7</f>
        <v>#DIV/0!</v>
      </c>
      <c r="AJ102" s="28"/>
      <c r="AK102" s="28" t="e">
        <f>(1/Table4[[#This Row],[nm14]])*10^7</f>
        <v>#DIV/0!</v>
      </c>
      <c r="AL102" s="28"/>
      <c r="AM102" s="28"/>
      <c r="AN102" s="28" t="e">
        <f>(1/Table4[[#This Row],[nm28]])*10^7</f>
        <v>#DIV/0!</v>
      </c>
      <c r="AO102" s="28"/>
      <c r="AP102" s="28" t="e">
        <f>(1/Table4[[#This Row],[nm10]])*10^7</f>
        <v>#DIV/0!</v>
      </c>
      <c r="AQ102" s="28"/>
      <c r="AR102" s="28" t="e">
        <f>(1/Table4[[#This Row],[nm11]])*10^7</f>
        <v>#DIV/0!</v>
      </c>
      <c r="AS102" s="28"/>
      <c r="AT102" s="28">
        <f>Table4[[#This Row],[Φ]]*100</f>
        <v>0</v>
      </c>
      <c r="AU102" s="28"/>
      <c r="AV102" s="28"/>
    </row>
    <row r="103" spans="3:48" x14ac:dyDescent="0.3">
      <c r="C103" s="27" t="e">
        <f>VLOOKUP(Table4[[#This Row],[Marker name]],BaseInfos_Table[#All],6,FALSE)</f>
        <v>#N/A</v>
      </c>
      <c r="G103" s="41" t="e">
        <f>(1*10^7)/Table4[[#This Row],[cm-1]]</f>
        <v>#DIV/0!</v>
      </c>
      <c r="I103" s="41" t="e">
        <f>(1*10^7)/Table4[[#This Row],[cm-2]]</f>
        <v>#DIV/0!</v>
      </c>
      <c r="K103" s="41" t="e">
        <f>(1*10^7)/Table4[[#This Row],[cm-3]]</f>
        <v>#DIV/0!</v>
      </c>
      <c r="R103" s="41" t="e">
        <f>(1*10^7)/Table4[[#This Row],[nm2]]</f>
        <v>#DIV/0!</v>
      </c>
      <c r="T103" s="41" t="e">
        <f>(1*10^7)/Table4[[#This Row],[nm12]]</f>
        <v>#DIV/0!</v>
      </c>
      <c r="Z103" s="28"/>
      <c r="AA103" s="28"/>
      <c r="AB103" s="28" t="e">
        <f>(1/Table4[[#This Row],[nm5]])*10^7</f>
        <v>#DIV/0!</v>
      </c>
      <c r="AC103" s="28"/>
      <c r="AD103" s="28" t="e">
        <f>(1/Table4[[#This Row],[nm8]])*10^7</f>
        <v>#DIV/0!</v>
      </c>
      <c r="AE103" s="28"/>
      <c r="AF103" s="28" t="e">
        <f>(1/Table4[[#This Row],[nm9]])*10^7</f>
        <v>#DIV/0!</v>
      </c>
      <c r="AG103" s="28"/>
      <c r="AH103" s="28"/>
      <c r="AI103" s="28" t="e">
        <f>(1/Table4[[#This Row],[nm4]])*10^7</f>
        <v>#DIV/0!</v>
      </c>
      <c r="AJ103" s="28"/>
      <c r="AK103" s="28" t="e">
        <f>(1/Table4[[#This Row],[nm14]])*10^7</f>
        <v>#DIV/0!</v>
      </c>
      <c r="AL103" s="28"/>
      <c r="AM103" s="28"/>
      <c r="AN103" s="28" t="e">
        <f>(1/Table4[[#This Row],[nm28]])*10^7</f>
        <v>#DIV/0!</v>
      </c>
      <c r="AO103" s="28"/>
      <c r="AP103" s="28" t="e">
        <f>(1/Table4[[#This Row],[nm10]])*10^7</f>
        <v>#DIV/0!</v>
      </c>
      <c r="AQ103" s="28"/>
      <c r="AR103" s="28" t="e">
        <f>(1/Table4[[#This Row],[nm11]])*10^7</f>
        <v>#DIV/0!</v>
      </c>
      <c r="AS103" s="28"/>
      <c r="AT103" s="28">
        <f>Table4[[#This Row],[Φ]]*100</f>
        <v>0</v>
      </c>
      <c r="AU103" s="28"/>
      <c r="AV103" s="28"/>
    </row>
    <row r="104" spans="3:48" x14ac:dyDescent="0.3">
      <c r="C104" s="27" t="e">
        <f>VLOOKUP(Table4[[#This Row],[Marker name]],BaseInfos_Table[#All],6,FALSE)</f>
        <v>#N/A</v>
      </c>
      <c r="G104" s="41" t="e">
        <f>(1*10^7)/Table4[[#This Row],[cm-1]]</f>
        <v>#DIV/0!</v>
      </c>
      <c r="I104" s="41" t="e">
        <f>(1*10^7)/Table4[[#This Row],[cm-2]]</f>
        <v>#DIV/0!</v>
      </c>
      <c r="K104" s="41" t="e">
        <f>(1*10^7)/Table4[[#This Row],[cm-3]]</f>
        <v>#DIV/0!</v>
      </c>
      <c r="R104" s="41" t="e">
        <f>(1*10^7)/Table4[[#This Row],[nm2]]</f>
        <v>#DIV/0!</v>
      </c>
      <c r="T104" s="41" t="e">
        <f>(1*10^7)/Table4[[#This Row],[nm12]]</f>
        <v>#DIV/0!</v>
      </c>
      <c r="Z104" s="28"/>
      <c r="AA104" s="28"/>
      <c r="AB104" s="28" t="e">
        <f>(1/Table4[[#This Row],[nm5]])*10^7</f>
        <v>#DIV/0!</v>
      </c>
      <c r="AC104" s="28"/>
      <c r="AD104" s="28" t="e">
        <f>(1/Table4[[#This Row],[nm8]])*10^7</f>
        <v>#DIV/0!</v>
      </c>
      <c r="AE104" s="28"/>
      <c r="AF104" s="28" t="e">
        <f>(1/Table4[[#This Row],[nm9]])*10^7</f>
        <v>#DIV/0!</v>
      </c>
      <c r="AG104" s="28"/>
      <c r="AH104" s="28"/>
      <c r="AI104" s="28" t="e">
        <f>(1/Table4[[#This Row],[nm4]])*10^7</f>
        <v>#DIV/0!</v>
      </c>
      <c r="AJ104" s="28"/>
      <c r="AK104" s="28" t="e">
        <f>(1/Table4[[#This Row],[nm14]])*10^7</f>
        <v>#DIV/0!</v>
      </c>
      <c r="AL104" s="28"/>
      <c r="AM104" s="28"/>
      <c r="AN104" s="28" t="e">
        <f>(1/Table4[[#This Row],[nm28]])*10^7</f>
        <v>#DIV/0!</v>
      </c>
      <c r="AO104" s="28"/>
      <c r="AP104" s="28" t="e">
        <f>(1/Table4[[#This Row],[nm10]])*10^7</f>
        <v>#DIV/0!</v>
      </c>
      <c r="AQ104" s="28"/>
      <c r="AR104" s="28" t="e">
        <f>(1/Table4[[#This Row],[nm11]])*10^7</f>
        <v>#DIV/0!</v>
      </c>
      <c r="AS104" s="28"/>
      <c r="AT104" s="28">
        <f>Table4[[#This Row],[Φ]]*100</f>
        <v>0</v>
      </c>
      <c r="AU104" s="28"/>
      <c r="AV104" s="28"/>
    </row>
    <row r="105" spans="3:48" x14ac:dyDescent="0.3">
      <c r="C105" s="27" t="e">
        <f>VLOOKUP(Table4[[#This Row],[Marker name]],BaseInfos_Table[#All],6,FALSE)</f>
        <v>#N/A</v>
      </c>
      <c r="G105" s="41" t="e">
        <f>(1*10^7)/Table4[[#This Row],[cm-1]]</f>
        <v>#DIV/0!</v>
      </c>
      <c r="I105" s="41" t="e">
        <f>(1*10^7)/Table4[[#This Row],[cm-2]]</f>
        <v>#DIV/0!</v>
      </c>
      <c r="K105" s="41" t="e">
        <f>(1*10^7)/Table4[[#This Row],[cm-3]]</f>
        <v>#DIV/0!</v>
      </c>
      <c r="R105" s="41" t="e">
        <f>(1*10^7)/Table4[[#This Row],[nm2]]</f>
        <v>#DIV/0!</v>
      </c>
      <c r="T105" s="41" t="e">
        <f>(1*10^7)/Table4[[#This Row],[nm12]]</f>
        <v>#DIV/0!</v>
      </c>
      <c r="Z105" s="28"/>
      <c r="AA105" s="28"/>
      <c r="AB105" s="28" t="e">
        <f>(1/Table4[[#This Row],[nm5]])*10^7</f>
        <v>#DIV/0!</v>
      </c>
      <c r="AC105" s="28"/>
      <c r="AD105" s="28" t="e">
        <f>(1/Table4[[#This Row],[nm8]])*10^7</f>
        <v>#DIV/0!</v>
      </c>
      <c r="AE105" s="28"/>
      <c r="AF105" s="28" t="e">
        <f>(1/Table4[[#This Row],[nm9]])*10^7</f>
        <v>#DIV/0!</v>
      </c>
      <c r="AG105" s="28"/>
      <c r="AH105" s="28"/>
      <c r="AI105" s="28" t="e">
        <f>(1/Table4[[#This Row],[nm4]])*10^7</f>
        <v>#DIV/0!</v>
      </c>
      <c r="AJ105" s="28"/>
      <c r="AK105" s="28" t="e">
        <f>(1/Table4[[#This Row],[nm14]])*10^7</f>
        <v>#DIV/0!</v>
      </c>
      <c r="AL105" s="28"/>
      <c r="AM105" s="28"/>
      <c r="AN105" s="28" t="e">
        <f>(1/Table4[[#This Row],[nm28]])*10^7</f>
        <v>#DIV/0!</v>
      </c>
      <c r="AO105" s="28"/>
      <c r="AP105" s="28" t="e">
        <f>(1/Table4[[#This Row],[nm10]])*10^7</f>
        <v>#DIV/0!</v>
      </c>
      <c r="AQ105" s="28"/>
      <c r="AR105" s="28" t="e">
        <f>(1/Table4[[#This Row],[nm11]])*10^7</f>
        <v>#DIV/0!</v>
      </c>
      <c r="AS105" s="28"/>
      <c r="AT105" s="28">
        <f>Table4[[#This Row],[Φ]]*100</f>
        <v>0</v>
      </c>
      <c r="AU105" s="28"/>
      <c r="AV105" s="28"/>
    </row>
    <row r="106" spans="3:48" x14ac:dyDescent="0.3">
      <c r="C106" s="27" t="e">
        <f>VLOOKUP(Table4[[#This Row],[Marker name]],BaseInfos_Table[#All],6,FALSE)</f>
        <v>#N/A</v>
      </c>
      <c r="G106" s="41" t="e">
        <f>(1*10^7)/Table4[[#This Row],[cm-1]]</f>
        <v>#DIV/0!</v>
      </c>
      <c r="I106" s="41" t="e">
        <f>(1*10^7)/Table4[[#This Row],[cm-2]]</f>
        <v>#DIV/0!</v>
      </c>
      <c r="K106" s="41" t="e">
        <f>(1*10^7)/Table4[[#This Row],[cm-3]]</f>
        <v>#DIV/0!</v>
      </c>
      <c r="R106" s="41" t="e">
        <f>(1*10^7)/Table4[[#This Row],[nm2]]</f>
        <v>#DIV/0!</v>
      </c>
      <c r="T106" s="41" t="e">
        <f>(1*10^7)/Table4[[#This Row],[nm12]]</f>
        <v>#DIV/0!</v>
      </c>
      <c r="Z106" s="28"/>
      <c r="AA106" s="28"/>
      <c r="AB106" s="28" t="e">
        <f>(1/Table4[[#This Row],[nm5]])*10^7</f>
        <v>#DIV/0!</v>
      </c>
      <c r="AC106" s="28"/>
      <c r="AD106" s="28" t="e">
        <f>(1/Table4[[#This Row],[nm8]])*10^7</f>
        <v>#DIV/0!</v>
      </c>
      <c r="AE106" s="28"/>
      <c r="AF106" s="28" t="e">
        <f>(1/Table4[[#This Row],[nm9]])*10^7</f>
        <v>#DIV/0!</v>
      </c>
      <c r="AG106" s="28"/>
      <c r="AH106" s="28"/>
      <c r="AI106" s="28" t="e">
        <f>(1/Table4[[#This Row],[nm4]])*10^7</f>
        <v>#DIV/0!</v>
      </c>
      <c r="AJ106" s="28"/>
      <c r="AK106" s="28" t="e">
        <f>(1/Table4[[#This Row],[nm14]])*10^7</f>
        <v>#DIV/0!</v>
      </c>
      <c r="AL106" s="28"/>
      <c r="AM106" s="28"/>
      <c r="AN106" s="28" t="e">
        <f>(1/Table4[[#This Row],[nm28]])*10^7</f>
        <v>#DIV/0!</v>
      </c>
      <c r="AO106" s="28"/>
      <c r="AP106" s="28" t="e">
        <f>(1/Table4[[#This Row],[nm10]])*10^7</f>
        <v>#DIV/0!</v>
      </c>
      <c r="AQ106" s="28"/>
      <c r="AR106" s="28" t="e">
        <f>(1/Table4[[#This Row],[nm11]])*10^7</f>
        <v>#DIV/0!</v>
      </c>
      <c r="AS106" s="28"/>
      <c r="AT106" s="28">
        <f>Table4[[#This Row],[Φ]]*100</f>
        <v>0</v>
      </c>
      <c r="AU106" s="28"/>
      <c r="AV106" s="28"/>
    </row>
    <row r="107" spans="3:48" x14ac:dyDescent="0.3">
      <c r="C107" s="27" t="e">
        <f>VLOOKUP(Table4[[#This Row],[Marker name]],BaseInfos_Table[#All],6,FALSE)</f>
        <v>#N/A</v>
      </c>
      <c r="G107" s="41" t="e">
        <f>(1*10^7)/Table4[[#This Row],[cm-1]]</f>
        <v>#DIV/0!</v>
      </c>
      <c r="I107" s="41" t="e">
        <f>(1*10^7)/Table4[[#This Row],[cm-2]]</f>
        <v>#DIV/0!</v>
      </c>
      <c r="K107" s="41" t="e">
        <f>(1*10^7)/Table4[[#This Row],[cm-3]]</f>
        <v>#DIV/0!</v>
      </c>
      <c r="R107" s="41" t="e">
        <f>(1*10^7)/Table4[[#This Row],[nm2]]</f>
        <v>#DIV/0!</v>
      </c>
      <c r="T107" s="41" t="e">
        <f>(1*10^7)/Table4[[#This Row],[nm12]]</f>
        <v>#DIV/0!</v>
      </c>
      <c r="Z107" s="28"/>
      <c r="AA107" s="28"/>
      <c r="AB107" s="28" t="e">
        <f>(1/Table4[[#This Row],[nm5]])*10^7</f>
        <v>#DIV/0!</v>
      </c>
      <c r="AC107" s="28"/>
      <c r="AD107" s="28" t="e">
        <f>(1/Table4[[#This Row],[nm8]])*10^7</f>
        <v>#DIV/0!</v>
      </c>
      <c r="AE107" s="28"/>
      <c r="AF107" s="28" t="e">
        <f>(1/Table4[[#This Row],[nm9]])*10^7</f>
        <v>#DIV/0!</v>
      </c>
      <c r="AG107" s="28"/>
      <c r="AH107" s="28"/>
      <c r="AI107" s="28" t="e">
        <f>(1/Table4[[#This Row],[nm4]])*10^7</f>
        <v>#DIV/0!</v>
      </c>
      <c r="AJ107" s="28"/>
      <c r="AK107" s="28" t="e">
        <f>(1/Table4[[#This Row],[nm14]])*10^7</f>
        <v>#DIV/0!</v>
      </c>
      <c r="AL107" s="28"/>
      <c r="AM107" s="28"/>
      <c r="AN107" s="28" t="e">
        <f>(1/Table4[[#This Row],[nm28]])*10^7</f>
        <v>#DIV/0!</v>
      </c>
      <c r="AO107" s="28"/>
      <c r="AP107" s="28" t="e">
        <f>(1/Table4[[#This Row],[nm10]])*10^7</f>
        <v>#DIV/0!</v>
      </c>
      <c r="AQ107" s="28"/>
      <c r="AR107" s="28" t="e">
        <f>(1/Table4[[#This Row],[nm11]])*10^7</f>
        <v>#DIV/0!</v>
      </c>
      <c r="AS107" s="28"/>
      <c r="AT107" s="28">
        <f>Table4[[#This Row],[Φ]]*100</f>
        <v>0</v>
      </c>
      <c r="AU107" s="28"/>
      <c r="AV107" s="28"/>
    </row>
    <row r="108" spans="3:48" x14ac:dyDescent="0.3">
      <c r="C108" s="27" t="e">
        <f>VLOOKUP(Table4[[#This Row],[Marker name]],BaseInfos_Table[#All],6,FALSE)</f>
        <v>#N/A</v>
      </c>
      <c r="G108" s="41" t="e">
        <f>(1*10^7)/Table4[[#This Row],[cm-1]]</f>
        <v>#DIV/0!</v>
      </c>
      <c r="I108" s="41" t="e">
        <f>(1*10^7)/Table4[[#This Row],[cm-2]]</f>
        <v>#DIV/0!</v>
      </c>
      <c r="K108" s="41" t="e">
        <f>(1*10^7)/Table4[[#This Row],[cm-3]]</f>
        <v>#DIV/0!</v>
      </c>
      <c r="R108" s="41" t="e">
        <f>(1*10^7)/Table4[[#This Row],[nm2]]</f>
        <v>#DIV/0!</v>
      </c>
      <c r="T108" s="41" t="e">
        <f>(1*10^7)/Table4[[#This Row],[nm12]]</f>
        <v>#DIV/0!</v>
      </c>
      <c r="Z108" s="28"/>
      <c r="AA108" s="28"/>
      <c r="AB108" s="28" t="e">
        <f>(1/Table4[[#This Row],[nm5]])*10^7</f>
        <v>#DIV/0!</v>
      </c>
      <c r="AC108" s="28"/>
      <c r="AD108" s="28" t="e">
        <f>(1/Table4[[#This Row],[nm8]])*10^7</f>
        <v>#DIV/0!</v>
      </c>
      <c r="AE108" s="28"/>
      <c r="AF108" s="28" t="e">
        <f>(1/Table4[[#This Row],[nm9]])*10^7</f>
        <v>#DIV/0!</v>
      </c>
      <c r="AG108" s="28"/>
      <c r="AH108" s="28"/>
      <c r="AI108" s="28" t="e">
        <f>(1/Table4[[#This Row],[nm4]])*10^7</f>
        <v>#DIV/0!</v>
      </c>
      <c r="AJ108" s="28"/>
      <c r="AK108" s="28" t="e">
        <f>(1/Table4[[#This Row],[nm14]])*10^7</f>
        <v>#DIV/0!</v>
      </c>
      <c r="AL108" s="28"/>
      <c r="AM108" s="28"/>
      <c r="AN108" s="28" t="e">
        <f>(1/Table4[[#This Row],[nm28]])*10^7</f>
        <v>#DIV/0!</v>
      </c>
      <c r="AO108" s="28"/>
      <c r="AP108" s="28" t="e">
        <f>(1/Table4[[#This Row],[nm10]])*10^7</f>
        <v>#DIV/0!</v>
      </c>
      <c r="AQ108" s="28"/>
      <c r="AR108" s="28" t="e">
        <f>(1/Table4[[#This Row],[nm11]])*10^7</f>
        <v>#DIV/0!</v>
      </c>
      <c r="AS108" s="28"/>
      <c r="AT108" s="28">
        <f>Table4[[#This Row],[Φ]]*100</f>
        <v>0</v>
      </c>
      <c r="AU108" s="28"/>
      <c r="AV108" s="28"/>
    </row>
    <row r="109" spans="3:48" x14ac:dyDescent="0.3">
      <c r="C109" s="27" t="e">
        <f>VLOOKUP(Table4[[#This Row],[Marker name]],BaseInfos_Table[#All],6,FALSE)</f>
        <v>#N/A</v>
      </c>
      <c r="G109" s="41" t="e">
        <f>(1*10^7)/Table4[[#This Row],[cm-1]]</f>
        <v>#DIV/0!</v>
      </c>
      <c r="I109" s="41" t="e">
        <f>(1*10^7)/Table4[[#This Row],[cm-2]]</f>
        <v>#DIV/0!</v>
      </c>
      <c r="K109" s="41" t="e">
        <f>(1*10^7)/Table4[[#This Row],[cm-3]]</f>
        <v>#DIV/0!</v>
      </c>
      <c r="R109" s="41" t="e">
        <f>(1*10^7)/Table4[[#This Row],[nm2]]</f>
        <v>#DIV/0!</v>
      </c>
      <c r="T109" s="41" t="e">
        <f>(1*10^7)/Table4[[#This Row],[nm12]]</f>
        <v>#DIV/0!</v>
      </c>
      <c r="Z109" s="28"/>
      <c r="AA109" s="28"/>
      <c r="AB109" s="28" t="e">
        <f>(1/Table4[[#This Row],[nm5]])*10^7</f>
        <v>#DIV/0!</v>
      </c>
      <c r="AC109" s="28"/>
      <c r="AD109" s="28" t="e">
        <f>(1/Table4[[#This Row],[nm8]])*10^7</f>
        <v>#DIV/0!</v>
      </c>
      <c r="AE109" s="28"/>
      <c r="AF109" s="28" t="e">
        <f>(1/Table4[[#This Row],[nm9]])*10^7</f>
        <v>#DIV/0!</v>
      </c>
      <c r="AG109" s="28"/>
      <c r="AH109" s="28"/>
      <c r="AI109" s="28" t="e">
        <f>(1/Table4[[#This Row],[nm4]])*10^7</f>
        <v>#DIV/0!</v>
      </c>
      <c r="AJ109" s="28"/>
      <c r="AK109" s="28" t="e">
        <f>(1/Table4[[#This Row],[nm14]])*10^7</f>
        <v>#DIV/0!</v>
      </c>
      <c r="AL109" s="28"/>
      <c r="AM109" s="28"/>
      <c r="AN109" s="28" t="e">
        <f>(1/Table4[[#This Row],[nm28]])*10^7</f>
        <v>#DIV/0!</v>
      </c>
      <c r="AO109" s="28"/>
      <c r="AP109" s="28" t="e">
        <f>(1/Table4[[#This Row],[nm10]])*10^7</f>
        <v>#DIV/0!</v>
      </c>
      <c r="AQ109" s="28"/>
      <c r="AR109" s="28" t="e">
        <f>(1/Table4[[#This Row],[nm11]])*10^7</f>
        <v>#DIV/0!</v>
      </c>
      <c r="AS109" s="28"/>
      <c r="AT109" s="28">
        <f>Table4[[#This Row],[Φ]]*100</f>
        <v>0</v>
      </c>
      <c r="AU109" s="28"/>
      <c r="AV109" s="28"/>
    </row>
    <row r="110" spans="3:48" x14ac:dyDescent="0.3">
      <c r="C110" s="27" t="e">
        <f>VLOOKUP(Table4[[#This Row],[Marker name]],BaseInfos_Table[#All],6,FALSE)</f>
        <v>#N/A</v>
      </c>
      <c r="G110" s="41" t="e">
        <f>(1*10^7)/Table4[[#This Row],[cm-1]]</f>
        <v>#DIV/0!</v>
      </c>
      <c r="I110" s="41" t="e">
        <f>(1*10^7)/Table4[[#This Row],[cm-2]]</f>
        <v>#DIV/0!</v>
      </c>
      <c r="K110" s="41" t="e">
        <f>(1*10^7)/Table4[[#This Row],[cm-3]]</f>
        <v>#DIV/0!</v>
      </c>
      <c r="R110" s="41" t="e">
        <f>(1*10^7)/Table4[[#This Row],[nm2]]</f>
        <v>#DIV/0!</v>
      </c>
      <c r="T110" s="41" t="e">
        <f>(1*10^7)/Table4[[#This Row],[nm12]]</f>
        <v>#DIV/0!</v>
      </c>
      <c r="Z110" s="28"/>
      <c r="AA110" s="28"/>
      <c r="AB110" s="28" t="e">
        <f>(1/Table4[[#This Row],[nm5]])*10^7</f>
        <v>#DIV/0!</v>
      </c>
      <c r="AC110" s="28"/>
      <c r="AD110" s="28" t="e">
        <f>(1/Table4[[#This Row],[nm8]])*10^7</f>
        <v>#DIV/0!</v>
      </c>
      <c r="AE110" s="28"/>
      <c r="AF110" s="28" t="e">
        <f>(1/Table4[[#This Row],[nm9]])*10^7</f>
        <v>#DIV/0!</v>
      </c>
      <c r="AG110" s="28"/>
      <c r="AH110" s="28"/>
      <c r="AI110" s="28" t="e">
        <f>(1/Table4[[#This Row],[nm4]])*10^7</f>
        <v>#DIV/0!</v>
      </c>
      <c r="AJ110" s="28"/>
      <c r="AK110" s="28" t="e">
        <f>(1/Table4[[#This Row],[nm14]])*10^7</f>
        <v>#DIV/0!</v>
      </c>
      <c r="AL110" s="28"/>
      <c r="AM110" s="28"/>
      <c r="AN110" s="28" t="e">
        <f>(1/Table4[[#This Row],[nm28]])*10^7</f>
        <v>#DIV/0!</v>
      </c>
      <c r="AO110" s="28"/>
      <c r="AP110" s="28" t="e">
        <f>(1/Table4[[#This Row],[nm10]])*10^7</f>
        <v>#DIV/0!</v>
      </c>
      <c r="AQ110" s="28"/>
      <c r="AR110" s="28" t="e">
        <f>(1/Table4[[#This Row],[nm11]])*10^7</f>
        <v>#DIV/0!</v>
      </c>
      <c r="AS110" s="28"/>
      <c r="AT110" s="28">
        <f>Table4[[#This Row],[Φ]]*100</f>
        <v>0</v>
      </c>
      <c r="AU110" s="28"/>
      <c r="AV110" s="28"/>
    </row>
    <row r="111" spans="3:48" x14ac:dyDescent="0.3">
      <c r="C111" s="27" t="e">
        <f>VLOOKUP(Table4[[#This Row],[Marker name]],BaseInfos_Table[#All],6,FALSE)</f>
        <v>#N/A</v>
      </c>
      <c r="G111" s="41" t="e">
        <f>(1*10^7)/Table4[[#This Row],[cm-1]]</f>
        <v>#DIV/0!</v>
      </c>
      <c r="I111" s="41" t="e">
        <f>(1*10^7)/Table4[[#This Row],[cm-2]]</f>
        <v>#DIV/0!</v>
      </c>
      <c r="K111" s="41" t="e">
        <f>(1*10^7)/Table4[[#This Row],[cm-3]]</f>
        <v>#DIV/0!</v>
      </c>
      <c r="R111" s="41" t="e">
        <f>(1*10^7)/Table4[[#This Row],[nm2]]</f>
        <v>#DIV/0!</v>
      </c>
      <c r="T111" s="41" t="e">
        <f>(1*10^7)/Table4[[#This Row],[nm12]]</f>
        <v>#DIV/0!</v>
      </c>
      <c r="Z111" s="28"/>
      <c r="AA111" s="28"/>
      <c r="AB111" s="28" t="e">
        <f>(1/Table4[[#This Row],[nm5]])*10^7</f>
        <v>#DIV/0!</v>
      </c>
      <c r="AC111" s="28"/>
      <c r="AD111" s="28" t="e">
        <f>(1/Table4[[#This Row],[nm8]])*10^7</f>
        <v>#DIV/0!</v>
      </c>
      <c r="AE111" s="28"/>
      <c r="AF111" s="28" t="e">
        <f>(1/Table4[[#This Row],[nm9]])*10^7</f>
        <v>#DIV/0!</v>
      </c>
      <c r="AG111" s="28"/>
      <c r="AH111" s="28"/>
      <c r="AI111" s="28" t="e">
        <f>(1/Table4[[#This Row],[nm4]])*10^7</f>
        <v>#DIV/0!</v>
      </c>
      <c r="AJ111" s="28"/>
      <c r="AK111" s="28" t="e">
        <f>(1/Table4[[#This Row],[nm14]])*10^7</f>
        <v>#DIV/0!</v>
      </c>
      <c r="AL111" s="28"/>
      <c r="AM111" s="28"/>
      <c r="AN111" s="28" t="e">
        <f>(1/Table4[[#This Row],[nm28]])*10^7</f>
        <v>#DIV/0!</v>
      </c>
      <c r="AO111" s="28"/>
      <c r="AP111" s="28" t="e">
        <f>(1/Table4[[#This Row],[nm10]])*10^7</f>
        <v>#DIV/0!</v>
      </c>
      <c r="AQ111" s="28"/>
      <c r="AR111" s="28" t="e">
        <f>(1/Table4[[#This Row],[nm11]])*10^7</f>
        <v>#DIV/0!</v>
      </c>
      <c r="AS111" s="28"/>
      <c r="AT111" s="28">
        <f>Table4[[#This Row],[Φ]]*100</f>
        <v>0</v>
      </c>
      <c r="AU111" s="28"/>
      <c r="AV111" s="28"/>
    </row>
    <row r="112" spans="3:48" x14ac:dyDescent="0.3">
      <c r="C112" s="27" t="e">
        <f>VLOOKUP(Table4[[#This Row],[Marker name]],BaseInfos_Table[#All],6,FALSE)</f>
        <v>#N/A</v>
      </c>
      <c r="G112" s="41" t="e">
        <f>(1*10^7)/Table4[[#This Row],[cm-1]]</f>
        <v>#DIV/0!</v>
      </c>
      <c r="I112" s="41" t="e">
        <f>(1*10^7)/Table4[[#This Row],[cm-2]]</f>
        <v>#DIV/0!</v>
      </c>
      <c r="K112" s="41" t="e">
        <f>(1*10^7)/Table4[[#This Row],[cm-3]]</f>
        <v>#DIV/0!</v>
      </c>
      <c r="R112" s="41" t="e">
        <f>(1*10^7)/Table4[[#This Row],[nm2]]</f>
        <v>#DIV/0!</v>
      </c>
      <c r="T112" s="41" t="e">
        <f>(1*10^7)/Table4[[#This Row],[nm12]]</f>
        <v>#DIV/0!</v>
      </c>
      <c r="Z112" s="28"/>
      <c r="AA112" s="28"/>
      <c r="AB112" s="28" t="e">
        <f>(1/Table4[[#This Row],[nm5]])*10^7</f>
        <v>#DIV/0!</v>
      </c>
      <c r="AC112" s="28"/>
      <c r="AD112" s="28" t="e">
        <f>(1/Table4[[#This Row],[nm8]])*10^7</f>
        <v>#DIV/0!</v>
      </c>
      <c r="AE112" s="28"/>
      <c r="AF112" s="28" t="e">
        <f>(1/Table4[[#This Row],[nm9]])*10^7</f>
        <v>#DIV/0!</v>
      </c>
      <c r="AG112" s="28"/>
      <c r="AH112" s="28"/>
      <c r="AI112" s="28" t="e">
        <f>(1/Table4[[#This Row],[nm4]])*10^7</f>
        <v>#DIV/0!</v>
      </c>
      <c r="AJ112" s="28"/>
      <c r="AK112" s="28" t="e">
        <f>(1/Table4[[#This Row],[nm14]])*10^7</f>
        <v>#DIV/0!</v>
      </c>
      <c r="AL112" s="28"/>
      <c r="AM112" s="28"/>
      <c r="AN112" s="28" t="e">
        <f>(1/Table4[[#This Row],[nm28]])*10^7</f>
        <v>#DIV/0!</v>
      </c>
      <c r="AO112" s="28"/>
      <c r="AP112" s="28" t="e">
        <f>(1/Table4[[#This Row],[nm10]])*10^7</f>
        <v>#DIV/0!</v>
      </c>
      <c r="AQ112" s="28"/>
      <c r="AR112" s="28" t="e">
        <f>(1/Table4[[#This Row],[nm11]])*10^7</f>
        <v>#DIV/0!</v>
      </c>
      <c r="AS112" s="28"/>
      <c r="AT112" s="28">
        <f>Table4[[#This Row],[Φ]]*100</f>
        <v>0</v>
      </c>
      <c r="AU112" s="28"/>
      <c r="AV112" s="28"/>
    </row>
    <row r="113" spans="3:48" x14ac:dyDescent="0.3">
      <c r="C113" s="27" t="e">
        <f>VLOOKUP(Table4[[#This Row],[Marker name]],BaseInfos_Table[#All],6,FALSE)</f>
        <v>#N/A</v>
      </c>
      <c r="G113" s="41" t="e">
        <f>(1*10^7)/Table4[[#This Row],[cm-1]]</f>
        <v>#DIV/0!</v>
      </c>
      <c r="I113" s="41" t="e">
        <f>(1*10^7)/Table4[[#This Row],[cm-2]]</f>
        <v>#DIV/0!</v>
      </c>
      <c r="K113" s="41" t="e">
        <f>(1*10^7)/Table4[[#This Row],[cm-3]]</f>
        <v>#DIV/0!</v>
      </c>
      <c r="R113" s="41" t="e">
        <f>(1*10^7)/Table4[[#This Row],[nm2]]</f>
        <v>#DIV/0!</v>
      </c>
      <c r="T113" s="41" t="e">
        <f>(1*10^7)/Table4[[#This Row],[nm12]]</f>
        <v>#DIV/0!</v>
      </c>
      <c r="Z113" s="28"/>
      <c r="AA113" s="28"/>
      <c r="AB113" s="28" t="e">
        <f>(1/Table4[[#This Row],[nm5]])*10^7</f>
        <v>#DIV/0!</v>
      </c>
      <c r="AC113" s="28"/>
      <c r="AD113" s="28" t="e">
        <f>(1/Table4[[#This Row],[nm8]])*10^7</f>
        <v>#DIV/0!</v>
      </c>
      <c r="AE113" s="28"/>
      <c r="AF113" s="28" t="e">
        <f>(1/Table4[[#This Row],[nm9]])*10^7</f>
        <v>#DIV/0!</v>
      </c>
      <c r="AG113" s="28"/>
      <c r="AH113" s="28"/>
      <c r="AI113" s="28" t="e">
        <f>(1/Table4[[#This Row],[nm4]])*10^7</f>
        <v>#DIV/0!</v>
      </c>
      <c r="AJ113" s="28"/>
      <c r="AK113" s="28" t="e">
        <f>(1/Table4[[#This Row],[nm14]])*10^7</f>
        <v>#DIV/0!</v>
      </c>
      <c r="AL113" s="28"/>
      <c r="AM113" s="28"/>
      <c r="AN113" s="28" t="e">
        <f>(1/Table4[[#This Row],[nm28]])*10^7</f>
        <v>#DIV/0!</v>
      </c>
      <c r="AO113" s="28"/>
      <c r="AP113" s="28" t="e">
        <f>(1/Table4[[#This Row],[nm10]])*10^7</f>
        <v>#DIV/0!</v>
      </c>
      <c r="AQ113" s="28"/>
      <c r="AR113" s="28" t="e">
        <f>(1/Table4[[#This Row],[nm11]])*10^7</f>
        <v>#DIV/0!</v>
      </c>
      <c r="AS113" s="28"/>
      <c r="AT113" s="28">
        <f>Table4[[#This Row],[Φ]]*100</f>
        <v>0</v>
      </c>
      <c r="AU113" s="28"/>
      <c r="AV113" s="28"/>
    </row>
    <row r="114" spans="3:48" x14ac:dyDescent="0.3">
      <c r="C114" s="27" t="e">
        <f>VLOOKUP(Table4[[#This Row],[Marker name]],BaseInfos_Table[#All],6,FALSE)</f>
        <v>#N/A</v>
      </c>
      <c r="G114" s="41" t="e">
        <f>(1*10^7)/Table4[[#This Row],[cm-1]]</f>
        <v>#DIV/0!</v>
      </c>
      <c r="I114" s="41" t="e">
        <f>(1*10^7)/Table4[[#This Row],[cm-2]]</f>
        <v>#DIV/0!</v>
      </c>
      <c r="K114" s="41" t="e">
        <f>(1*10^7)/Table4[[#This Row],[cm-3]]</f>
        <v>#DIV/0!</v>
      </c>
      <c r="R114" s="41" t="e">
        <f>(1*10^7)/Table4[[#This Row],[nm2]]</f>
        <v>#DIV/0!</v>
      </c>
      <c r="T114" s="41" t="e">
        <f>(1*10^7)/Table4[[#This Row],[nm12]]</f>
        <v>#DIV/0!</v>
      </c>
      <c r="Z114" s="28"/>
      <c r="AA114" s="28"/>
      <c r="AB114" s="28" t="e">
        <f>(1/Table4[[#This Row],[nm5]])*10^7</f>
        <v>#DIV/0!</v>
      </c>
      <c r="AC114" s="28"/>
      <c r="AD114" s="28" t="e">
        <f>(1/Table4[[#This Row],[nm8]])*10^7</f>
        <v>#DIV/0!</v>
      </c>
      <c r="AE114" s="28"/>
      <c r="AF114" s="28" t="e">
        <f>(1/Table4[[#This Row],[nm9]])*10^7</f>
        <v>#DIV/0!</v>
      </c>
      <c r="AG114" s="28"/>
      <c r="AH114" s="28"/>
      <c r="AI114" s="28" t="e">
        <f>(1/Table4[[#This Row],[nm4]])*10^7</f>
        <v>#DIV/0!</v>
      </c>
      <c r="AJ114" s="28"/>
      <c r="AK114" s="28" t="e">
        <f>(1/Table4[[#This Row],[nm14]])*10^7</f>
        <v>#DIV/0!</v>
      </c>
      <c r="AL114" s="28"/>
      <c r="AM114" s="28"/>
      <c r="AN114" s="28" t="e">
        <f>(1/Table4[[#This Row],[nm28]])*10^7</f>
        <v>#DIV/0!</v>
      </c>
      <c r="AO114" s="28"/>
      <c r="AP114" s="28" t="e">
        <f>(1/Table4[[#This Row],[nm10]])*10^7</f>
        <v>#DIV/0!</v>
      </c>
      <c r="AQ114" s="28"/>
      <c r="AR114" s="28" t="e">
        <f>(1/Table4[[#This Row],[nm11]])*10^7</f>
        <v>#DIV/0!</v>
      </c>
      <c r="AS114" s="28"/>
      <c r="AT114" s="28">
        <f>Table4[[#This Row],[Φ]]*100</f>
        <v>0</v>
      </c>
      <c r="AU114" s="28"/>
      <c r="AV114" s="28"/>
    </row>
    <row r="115" spans="3:48" x14ac:dyDescent="0.3">
      <c r="C115" s="27" t="e">
        <f>VLOOKUP(Table4[[#This Row],[Marker name]],BaseInfos_Table[#All],6,FALSE)</f>
        <v>#N/A</v>
      </c>
      <c r="G115" s="41" t="e">
        <f>(1*10^7)/Table4[[#This Row],[cm-1]]</f>
        <v>#DIV/0!</v>
      </c>
      <c r="I115" s="41" t="e">
        <f>(1*10^7)/Table4[[#This Row],[cm-2]]</f>
        <v>#DIV/0!</v>
      </c>
      <c r="K115" s="41" t="e">
        <f>(1*10^7)/Table4[[#This Row],[cm-3]]</f>
        <v>#DIV/0!</v>
      </c>
      <c r="R115" s="41" t="e">
        <f>(1*10^7)/Table4[[#This Row],[nm2]]</f>
        <v>#DIV/0!</v>
      </c>
      <c r="T115" s="41" t="e">
        <f>(1*10^7)/Table4[[#This Row],[nm12]]</f>
        <v>#DIV/0!</v>
      </c>
      <c r="Z115" s="28"/>
      <c r="AA115" s="28"/>
      <c r="AB115" s="28" t="e">
        <f>(1/Table4[[#This Row],[nm5]])*10^7</f>
        <v>#DIV/0!</v>
      </c>
      <c r="AC115" s="28"/>
      <c r="AD115" s="28" t="e">
        <f>(1/Table4[[#This Row],[nm8]])*10^7</f>
        <v>#DIV/0!</v>
      </c>
      <c r="AE115" s="28"/>
      <c r="AF115" s="28" t="e">
        <f>(1/Table4[[#This Row],[nm9]])*10^7</f>
        <v>#DIV/0!</v>
      </c>
      <c r="AG115" s="28"/>
      <c r="AH115" s="28"/>
      <c r="AI115" s="28" t="e">
        <f>(1/Table4[[#This Row],[nm4]])*10^7</f>
        <v>#DIV/0!</v>
      </c>
      <c r="AJ115" s="28"/>
      <c r="AK115" s="28" t="e">
        <f>(1/Table4[[#This Row],[nm14]])*10^7</f>
        <v>#DIV/0!</v>
      </c>
      <c r="AL115" s="28"/>
      <c r="AM115" s="28"/>
      <c r="AN115" s="28" t="e">
        <f>(1/Table4[[#This Row],[nm28]])*10^7</f>
        <v>#DIV/0!</v>
      </c>
      <c r="AO115" s="28"/>
      <c r="AP115" s="28" t="e">
        <f>(1/Table4[[#This Row],[nm10]])*10^7</f>
        <v>#DIV/0!</v>
      </c>
      <c r="AQ115" s="28"/>
      <c r="AR115" s="28" t="e">
        <f>(1/Table4[[#This Row],[nm11]])*10^7</f>
        <v>#DIV/0!</v>
      </c>
      <c r="AS115" s="28"/>
      <c r="AT115" s="28">
        <f>Table4[[#This Row],[Φ]]*100</f>
        <v>0</v>
      </c>
      <c r="AU115" s="28"/>
      <c r="AV115" s="28"/>
    </row>
    <row r="116" spans="3:48" x14ac:dyDescent="0.3">
      <c r="C116" s="27" t="e">
        <f>VLOOKUP(Table4[[#This Row],[Marker name]],BaseInfos_Table[#All],6,FALSE)</f>
        <v>#N/A</v>
      </c>
      <c r="G116" s="41" t="e">
        <f>(1*10^7)/Table4[[#This Row],[cm-1]]</f>
        <v>#DIV/0!</v>
      </c>
      <c r="I116" s="41" t="e">
        <f>(1*10^7)/Table4[[#This Row],[cm-2]]</f>
        <v>#DIV/0!</v>
      </c>
      <c r="K116" s="41" t="e">
        <f>(1*10^7)/Table4[[#This Row],[cm-3]]</f>
        <v>#DIV/0!</v>
      </c>
      <c r="R116" s="41" t="e">
        <f>(1*10^7)/Table4[[#This Row],[nm2]]</f>
        <v>#DIV/0!</v>
      </c>
      <c r="T116" s="41" t="e">
        <f>(1*10^7)/Table4[[#This Row],[nm12]]</f>
        <v>#DIV/0!</v>
      </c>
      <c r="Z116" s="28"/>
      <c r="AA116" s="28"/>
      <c r="AB116" s="28" t="e">
        <f>(1/Table4[[#This Row],[nm5]])*10^7</f>
        <v>#DIV/0!</v>
      </c>
      <c r="AC116" s="28"/>
      <c r="AD116" s="28" t="e">
        <f>(1/Table4[[#This Row],[nm8]])*10^7</f>
        <v>#DIV/0!</v>
      </c>
      <c r="AE116" s="28"/>
      <c r="AF116" s="28" t="e">
        <f>(1/Table4[[#This Row],[nm9]])*10^7</f>
        <v>#DIV/0!</v>
      </c>
      <c r="AG116" s="28"/>
      <c r="AH116" s="28"/>
      <c r="AI116" s="28" t="e">
        <f>(1/Table4[[#This Row],[nm4]])*10^7</f>
        <v>#DIV/0!</v>
      </c>
      <c r="AJ116" s="28"/>
      <c r="AK116" s="28" t="e">
        <f>(1/Table4[[#This Row],[nm14]])*10^7</f>
        <v>#DIV/0!</v>
      </c>
      <c r="AL116" s="28"/>
      <c r="AM116" s="28"/>
      <c r="AN116" s="28" t="e">
        <f>(1/Table4[[#This Row],[nm28]])*10^7</f>
        <v>#DIV/0!</v>
      </c>
      <c r="AO116" s="28"/>
      <c r="AP116" s="28" t="e">
        <f>(1/Table4[[#This Row],[nm10]])*10^7</f>
        <v>#DIV/0!</v>
      </c>
      <c r="AQ116" s="28"/>
      <c r="AR116" s="28" t="e">
        <f>(1/Table4[[#This Row],[nm11]])*10^7</f>
        <v>#DIV/0!</v>
      </c>
      <c r="AS116" s="28"/>
      <c r="AT116" s="28">
        <f>Table4[[#This Row],[Φ]]*100</f>
        <v>0</v>
      </c>
      <c r="AU116" s="28"/>
      <c r="AV116" s="28"/>
    </row>
    <row r="117" spans="3:48" x14ac:dyDescent="0.3">
      <c r="C117" s="27" t="e">
        <f>VLOOKUP(Table4[[#This Row],[Marker name]],BaseInfos_Table[#All],6,FALSE)</f>
        <v>#N/A</v>
      </c>
      <c r="G117" s="41" t="e">
        <f>(1*10^7)/Table4[[#This Row],[cm-1]]</f>
        <v>#DIV/0!</v>
      </c>
      <c r="I117" s="41" t="e">
        <f>(1*10^7)/Table4[[#This Row],[cm-2]]</f>
        <v>#DIV/0!</v>
      </c>
      <c r="K117" s="41" t="e">
        <f>(1*10^7)/Table4[[#This Row],[cm-3]]</f>
        <v>#DIV/0!</v>
      </c>
      <c r="R117" s="41" t="e">
        <f>(1*10^7)/Table4[[#This Row],[nm2]]</f>
        <v>#DIV/0!</v>
      </c>
      <c r="T117" s="41" t="e">
        <f>(1*10^7)/Table4[[#This Row],[nm12]]</f>
        <v>#DIV/0!</v>
      </c>
      <c r="Z117" s="28"/>
      <c r="AA117" s="28"/>
      <c r="AB117" s="28" t="e">
        <f>(1/Table4[[#This Row],[nm5]])*10^7</f>
        <v>#DIV/0!</v>
      </c>
      <c r="AC117" s="28"/>
      <c r="AD117" s="28" t="e">
        <f>(1/Table4[[#This Row],[nm8]])*10^7</f>
        <v>#DIV/0!</v>
      </c>
      <c r="AE117" s="28"/>
      <c r="AF117" s="28" t="e">
        <f>(1/Table4[[#This Row],[nm9]])*10^7</f>
        <v>#DIV/0!</v>
      </c>
      <c r="AG117" s="28"/>
      <c r="AH117" s="28"/>
      <c r="AI117" s="28" t="e">
        <f>(1/Table4[[#This Row],[nm4]])*10^7</f>
        <v>#DIV/0!</v>
      </c>
      <c r="AJ117" s="28"/>
      <c r="AK117" s="28" t="e">
        <f>(1/Table4[[#This Row],[nm14]])*10^7</f>
        <v>#DIV/0!</v>
      </c>
      <c r="AL117" s="28"/>
      <c r="AM117" s="28"/>
      <c r="AN117" s="28" t="e">
        <f>(1/Table4[[#This Row],[nm28]])*10^7</f>
        <v>#DIV/0!</v>
      </c>
      <c r="AO117" s="28"/>
      <c r="AP117" s="28" t="e">
        <f>(1/Table4[[#This Row],[nm10]])*10^7</f>
        <v>#DIV/0!</v>
      </c>
      <c r="AQ117" s="28"/>
      <c r="AR117" s="28" t="e">
        <f>(1/Table4[[#This Row],[nm11]])*10^7</f>
        <v>#DIV/0!</v>
      </c>
      <c r="AS117" s="28"/>
      <c r="AT117" s="28">
        <f>Table4[[#This Row],[Φ]]*100</f>
        <v>0</v>
      </c>
      <c r="AU117" s="28"/>
      <c r="AV117" s="28"/>
    </row>
    <row r="118" spans="3:48" x14ac:dyDescent="0.3">
      <c r="C118" s="27" t="e">
        <f>VLOOKUP(Table4[[#This Row],[Marker name]],BaseInfos_Table[#All],6,FALSE)</f>
        <v>#N/A</v>
      </c>
      <c r="G118" s="41" t="e">
        <f>(1*10^7)/Table4[[#This Row],[cm-1]]</f>
        <v>#DIV/0!</v>
      </c>
      <c r="I118" s="41" t="e">
        <f>(1*10^7)/Table4[[#This Row],[cm-2]]</f>
        <v>#DIV/0!</v>
      </c>
      <c r="K118" s="41" t="e">
        <f>(1*10^7)/Table4[[#This Row],[cm-3]]</f>
        <v>#DIV/0!</v>
      </c>
      <c r="R118" s="41" t="e">
        <f>(1*10^7)/Table4[[#This Row],[nm2]]</f>
        <v>#DIV/0!</v>
      </c>
      <c r="T118" s="41" t="e">
        <f>(1*10^7)/Table4[[#This Row],[nm12]]</f>
        <v>#DIV/0!</v>
      </c>
      <c r="Z118" s="28"/>
      <c r="AA118" s="28"/>
      <c r="AB118" s="28" t="e">
        <f>(1/Table4[[#This Row],[nm5]])*10^7</f>
        <v>#DIV/0!</v>
      </c>
      <c r="AC118" s="28"/>
      <c r="AD118" s="28" t="e">
        <f>(1/Table4[[#This Row],[nm8]])*10^7</f>
        <v>#DIV/0!</v>
      </c>
      <c r="AE118" s="28"/>
      <c r="AF118" s="28" t="e">
        <f>(1/Table4[[#This Row],[nm9]])*10^7</f>
        <v>#DIV/0!</v>
      </c>
      <c r="AG118" s="28"/>
      <c r="AH118" s="28"/>
      <c r="AI118" s="28" t="e">
        <f>(1/Table4[[#This Row],[nm4]])*10^7</f>
        <v>#DIV/0!</v>
      </c>
      <c r="AJ118" s="28"/>
      <c r="AK118" s="28" t="e">
        <f>(1/Table4[[#This Row],[nm14]])*10^7</f>
        <v>#DIV/0!</v>
      </c>
      <c r="AL118" s="28"/>
      <c r="AM118" s="28"/>
      <c r="AN118" s="28" t="e">
        <f>(1/Table4[[#This Row],[nm28]])*10^7</f>
        <v>#DIV/0!</v>
      </c>
      <c r="AO118" s="28"/>
      <c r="AP118" s="28" t="e">
        <f>(1/Table4[[#This Row],[nm10]])*10^7</f>
        <v>#DIV/0!</v>
      </c>
      <c r="AQ118" s="28"/>
      <c r="AR118" s="28" t="e">
        <f>(1/Table4[[#This Row],[nm11]])*10^7</f>
        <v>#DIV/0!</v>
      </c>
      <c r="AS118" s="28"/>
      <c r="AT118" s="28">
        <f>Table4[[#This Row],[Φ]]*100</f>
        <v>0</v>
      </c>
      <c r="AU118" s="28"/>
      <c r="AV118" s="28"/>
    </row>
    <row r="119" spans="3:48" x14ac:dyDescent="0.3">
      <c r="C119" s="27" t="e">
        <f>VLOOKUP(Table4[[#This Row],[Marker name]],BaseInfos_Table[#All],6,FALSE)</f>
        <v>#N/A</v>
      </c>
      <c r="G119" s="41" t="e">
        <f>(1*10^7)/Table4[[#This Row],[cm-1]]</f>
        <v>#DIV/0!</v>
      </c>
      <c r="I119" s="41" t="e">
        <f>(1*10^7)/Table4[[#This Row],[cm-2]]</f>
        <v>#DIV/0!</v>
      </c>
      <c r="K119" s="41" t="e">
        <f>(1*10^7)/Table4[[#This Row],[cm-3]]</f>
        <v>#DIV/0!</v>
      </c>
      <c r="R119" s="41" t="e">
        <f>(1*10^7)/Table4[[#This Row],[nm2]]</f>
        <v>#DIV/0!</v>
      </c>
      <c r="T119" s="41" t="e">
        <f>(1*10^7)/Table4[[#This Row],[nm12]]</f>
        <v>#DIV/0!</v>
      </c>
      <c r="Z119" s="28"/>
      <c r="AA119" s="28"/>
      <c r="AB119" s="28" t="e">
        <f>(1/Table4[[#This Row],[nm5]])*10^7</f>
        <v>#DIV/0!</v>
      </c>
      <c r="AC119" s="28"/>
      <c r="AD119" s="28" t="e">
        <f>(1/Table4[[#This Row],[nm8]])*10^7</f>
        <v>#DIV/0!</v>
      </c>
      <c r="AE119" s="28"/>
      <c r="AF119" s="28" t="e">
        <f>(1/Table4[[#This Row],[nm9]])*10^7</f>
        <v>#DIV/0!</v>
      </c>
      <c r="AG119" s="28"/>
      <c r="AH119" s="28"/>
      <c r="AI119" s="28" t="e">
        <f>(1/Table4[[#This Row],[nm4]])*10^7</f>
        <v>#DIV/0!</v>
      </c>
      <c r="AJ119" s="28"/>
      <c r="AK119" s="28" t="e">
        <f>(1/Table4[[#This Row],[nm14]])*10^7</f>
        <v>#DIV/0!</v>
      </c>
      <c r="AL119" s="28"/>
      <c r="AM119" s="28"/>
      <c r="AN119" s="28" t="e">
        <f>(1/Table4[[#This Row],[nm28]])*10^7</f>
        <v>#DIV/0!</v>
      </c>
      <c r="AO119" s="28"/>
      <c r="AP119" s="28" t="e">
        <f>(1/Table4[[#This Row],[nm10]])*10^7</f>
        <v>#DIV/0!</v>
      </c>
      <c r="AQ119" s="28"/>
      <c r="AR119" s="28" t="e">
        <f>(1/Table4[[#This Row],[nm11]])*10^7</f>
        <v>#DIV/0!</v>
      </c>
      <c r="AS119" s="28"/>
      <c r="AT119" s="28">
        <f>Table4[[#This Row],[Φ]]*100</f>
        <v>0</v>
      </c>
      <c r="AU119" s="28"/>
      <c r="AV119" s="28"/>
    </row>
    <row r="120" spans="3:48" x14ac:dyDescent="0.3">
      <c r="C120" s="27" t="e">
        <f>VLOOKUP(Table4[[#This Row],[Marker name]],BaseInfos_Table[#All],6,FALSE)</f>
        <v>#N/A</v>
      </c>
      <c r="G120" s="41" t="e">
        <f>(1*10^7)/Table4[[#This Row],[cm-1]]</f>
        <v>#DIV/0!</v>
      </c>
      <c r="I120" s="41" t="e">
        <f>(1*10^7)/Table4[[#This Row],[cm-2]]</f>
        <v>#DIV/0!</v>
      </c>
      <c r="K120" s="41" t="e">
        <f>(1*10^7)/Table4[[#This Row],[cm-3]]</f>
        <v>#DIV/0!</v>
      </c>
      <c r="R120" s="41" t="e">
        <f>(1*10^7)/Table4[[#This Row],[nm2]]</f>
        <v>#DIV/0!</v>
      </c>
      <c r="T120" s="41" t="e">
        <f>(1*10^7)/Table4[[#This Row],[nm12]]</f>
        <v>#DIV/0!</v>
      </c>
      <c r="Z120" s="28"/>
      <c r="AA120" s="28"/>
      <c r="AB120" s="28" t="e">
        <f>(1/Table4[[#This Row],[nm5]])*10^7</f>
        <v>#DIV/0!</v>
      </c>
      <c r="AC120" s="28"/>
      <c r="AD120" s="28" t="e">
        <f>(1/Table4[[#This Row],[nm8]])*10^7</f>
        <v>#DIV/0!</v>
      </c>
      <c r="AE120" s="28"/>
      <c r="AF120" s="28" t="e">
        <f>(1/Table4[[#This Row],[nm9]])*10^7</f>
        <v>#DIV/0!</v>
      </c>
      <c r="AG120" s="28"/>
      <c r="AH120" s="28"/>
      <c r="AI120" s="28" t="e">
        <f>(1/Table4[[#This Row],[nm4]])*10^7</f>
        <v>#DIV/0!</v>
      </c>
      <c r="AJ120" s="28"/>
      <c r="AK120" s="28" t="e">
        <f>(1/Table4[[#This Row],[nm14]])*10^7</f>
        <v>#DIV/0!</v>
      </c>
      <c r="AL120" s="28"/>
      <c r="AM120" s="28"/>
      <c r="AN120" s="28" t="e">
        <f>(1/Table4[[#This Row],[nm28]])*10^7</f>
        <v>#DIV/0!</v>
      </c>
      <c r="AO120" s="28"/>
      <c r="AP120" s="28" t="e">
        <f>(1/Table4[[#This Row],[nm10]])*10^7</f>
        <v>#DIV/0!</v>
      </c>
      <c r="AQ120" s="28"/>
      <c r="AR120" s="28" t="e">
        <f>(1/Table4[[#This Row],[nm11]])*10^7</f>
        <v>#DIV/0!</v>
      </c>
      <c r="AS120" s="28"/>
      <c r="AT120" s="28">
        <f>Table4[[#This Row],[Φ]]*100</f>
        <v>0</v>
      </c>
      <c r="AU120" s="28"/>
      <c r="AV120" s="28"/>
    </row>
    <row r="121" spans="3:48" x14ac:dyDescent="0.3">
      <c r="C121" s="27" t="e">
        <f>VLOOKUP(Table4[[#This Row],[Marker name]],BaseInfos_Table[#All],6,FALSE)</f>
        <v>#N/A</v>
      </c>
      <c r="G121" s="41" t="e">
        <f>(1*10^7)/Table4[[#This Row],[cm-1]]</f>
        <v>#DIV/0!</v>
      </c>
      <c r="I121" s="41" t="e">
        <f>(1*10^7)/Table4[[#This Row],[cm-2]]</f>
        <v>#DIV/0!</v>
      </c>
      <c r="K121" s="41" t="e">
        <f>(1*10^7)/Table4[[#This Row],[cm-3]]</f>
        <v>#DIV/0!</v>
      </c>
      <c r="R121" s="41" t="e">
        <f>(1*10^7)/Table4[[#This Row],[nm2]]</f>
        <v>#DIV/0!</v>
      </c>
      <c r="T121" s="41" t="e">
        <f>(1*10^7)/Table4[[#This Row],[nm12]]</f>
        <v>#DIV/0!</v>
      </c>
      <c r="Z121" s="28"/>
      <c r="AA121" s="28"/>
      <c r="AB121" s="28" t="e">
        <f>(1/Table4[[#This Row],[nm5]])*10^7</f>
        <v>#DIV/0!</v>
      </c>
      <c r="AC121" s="28"/>
      <c r="AD121" s="28" t="e">
        <f>(1/Table4[[#This Row],[nm8]])*10^7</f>
        <v>#DIV/0!</v>
      </c>
      <c r="AE121" s="28"/>
      <c r="AF121" s="28" t="e">
        <f>(1/Table4[[#This Row],[nm9]])*10^7</f>
        <v>#DIV/0!</v>
      </c>
      <c r="AG121" s="28"/>
      <c r="AH121" s="28"/>
      <c r="AI121" s="28" t="e">
        <f>(1/Table4[[#This Row],[nm4]])*10^7</f>
        <v>#DIV/0!</v>
      </c>
      <c r="AJ121" s="28"/>
      <c r="AK121" s="28" t="e">
        <f>(1/Table4[[#This Row],[nm14]])*10^7</f>
        <v>#DIV/0!</v>
      </c>
      <c r="AL121" s="28"/>
      <c r="AM121" s="28"/>
      <c r="AN121" s="28" t="e">
        <f>(1/Table4[[#This Row],[nm28]])*10^7</f>
        <v>#DIV/0!</v>
      </c>
      <c r="AO121" s="28"/>
      <c r="AP121" s="28" t="e">
        <f>(1/Table4[[#This Row],[nm10]])*10^7</f>
        <v>#DIV/0!</v>
      </c>
      <c r="AQ121" s="28"/>
      <c r="AR121" s="28" t="e">
        <f>(1/Table4[[#This Row],[nm11]])*10^7</f>
        <v>#DIV/0!</v>
      </c>
      <c r="AS121" s="28"/>
      <c r="AT121" s="28">
        <f>Table4[[#This Row],[Φ]]*100</f>
        <v>0</v>
      </c>
      <c r="AU121" s="28"/>
      <c r="AV121" s="28"/>
    </row>
    <row r="122" spans="3:48" x14ac:dyDescent="0.3">
      <c r="C122" s="27" t="e">
        <f>VLOOKUP(Table4[[#This Row],[Marker name]],BaseInfos_Table[#All],6,FALSE)</f>
        <v>#N/A</v>
      </c>
      <c r="G122" s="41" t="e">
        <f>(1*10^7)/Table4[[#This Row],[cm-1]]</f>
        <v>#DIV/0!</v>
      </c>
      <c r="I122" s="41" t="e">
        <f>(1*10^7)/Table4[[#This Row],[cm-2]]</f>
        <v>#DIV/0!</v>
      </c>
      <c r="K122" s="41" t="e">
        <f>(1*10^7)/Table4[[#This Row],[cm-3]]</f>
        <v>#DIV/0!</v>
      </c>
      <c r="R122" s="41" t="e">
        <f>(1*10^7)/Table4[[#This Row],[nm2]]</f>
        <v>#DIV/0!</v>
      </c>
      <c r="T122" s="41" t="e">
        <f>(1*10^7)/Table4[[#This Row],[nm12]]</f>
        <v>#DIV/0!</v>
      </c>
      <c r="Z122" s="28"/>
      <c r="AA122" s="28"/>
      <c r="AB122" s="28" t="e">
        <f>(1/Table4[[#This Row],[nm5]])*10^7</f>
        <v>#DIV/0!</v>
      </c>
      <c r="AC122" s="28"/>
      <c r="AD122" s="28" t="e">
        <f>(1/Table4[[#This Row],[nm8]])*10^7</f>
        <v>#DIV/0!</v>
      </c>
      <c r="AE122" s="28"/>
      <c r="AF122" s="28" t="e">
        <f>(1/Table4[[#This Row],[nm9]])*10^7</f>
        <v>#DIV/0!</v>
      </c>
      <c r="AG122" s="28"/>
      <c r="AH122" s="28"/>
      <c r="AI122" s="28" t="e">
        <f>(1/Table4[[#This Row],[nm4]])*10^7</f>
        <v>#DIV/0!</v>
      </c>
      <c r="AJ122" s="28"/>
      <c r="AK122" s="28" t="e">
        <f>(1/Table4[[#This Row],[nm14]])*10^7</f>
        <v>#DIV/0!</v>
      </c>
      <c r="AL122" s="28"/>
      <c r="AM122" s="28"/>
      <c r="AN122" s="28" t="e">
        <f>(1/Table4[[#This Row],[nm28]])*10^7</f>
        <v>#DIV/0!</v>
      </c>
      <c r="AO122" s="28"/>
      <c r="AP122" s="28" t="e">
        <f>(1/Table4[[#This Row],[nm10]])*10^7</f>
        <v>#DIV/0!</v>
      </c>
      <c r="AQ122" s="28"/>
      <c r="AR122" s="28" t="e">
        <f>(1/Table4[[#This Row],[nm11]])*10^7</f>
        <v>#DIV/0!</v>
      </c>
      <c r="AS122" s="28"/>
      <c r="AT122" s="28">
        <f>Table4[[#This Row],[Φ]]*100</f>
        <v>0</v>
      </c>
      <c r="AU122" s="28"/>
      <c r="AV122" s="28"/>
    </row>
    <row r="123" spans="3:48" x14ac:dyDescent="0.3">
      <c r="C123" s="27" t="e">
        <f>VLOOKUP(Table4[[#This Row],[Marker name]],BaseInfos_Table[#All],6,FALSE)</f>
        <v>#N/A</v>
      </c>
      <c r="G123" s="41" t="e">
        <f>(1*10^7)/Table4[[#This Row],[cm-1]]</f>
        <v>#DIV/0!</v>
      </c>
      <c r="I123" s="41" t="e">
        <f>(1*10^7)/Table4[[#This Row],[cm-2]]</f>
        <v>#DIV/0!</v>
      </c>
      <c r="K123" s="41" t="e">
        <f>(1*10^7)/Table4[[#This Row],[cm-3]]</f>
        <v>#DIV/0!</v>
      </c>
      <c r="R123" s="41" t="e">
        <f>(1*10^7)/Table4[[#This Row],[nm2]]</f>
        <v>#DIV/0!</v>
      </c>
      <c r="T123" s="41" t="e">
        <f>(1*10^7)/Table4[[#This Row],[nm12]]</f>
        <v>#DIV/0!</v>
      </c>
      <c r="Z123" s="28"/>
      <c r="AA123" s="28"/>
      <c r="AB123" s="28" t="e">
        <f>(1/Table4[[#This Row],[nm5]])*10^7</f>
        <v>#DIV/0!</v>
      </c>
      <c r="AC123" s="28"/>
      <c r="AD123" s="28" t="e">
        <f>(1/Table4[[#This Row],[nm8]])*10^7</f>
        <v>#DIV/0!</v>
      </c>
      <c r="AE123" s="28"/>
      <c r="AF123" s="28" t="e">
        <f>(1/Table4[[#This Row],[nm9]])*10^7</f>
        <v>#DIV/0!</v>
      </c>
      <c r="AG123" s="28"/>
      <c r="AH123" s="28"/>
      <c r="AI123" s="28" t="e">
        <f>(1/Table4[[#This Row],[nm4]])*10^7</f>
        <v>#DIV/0!</v>
      </c>
      <c r="AJ123" s="28"/>
      <c r="AK123" s="28" t="e">
        <f>(1/Table4[[#This Row],[nm14]])*10^7</f>
        <v>#DIV/0!</v>
      </c>
      <c r="AL123" s="28"/>
      <c r="AM123" s="28"/>
      <c r="AN123" s="28" t="e">
        <f>(1/Table4[[#This Row],[nm28]])*10^7</f>
        <v>#DIV/0!</v>
      </c>
      <c r="AO123" s="28"/>
      <c r="AP123" s="28" t="e">
        <f>(1/Table4[[#This Row],[nm10]])*10^7</f>
        <v>#DIV/0!</v>
      </c>
      <c r="AQ123" s="28"/>
      <c r="AR123" s="28" t="e">
        <f>(1/Table4[[#This Row],[nm11]])*10^7</f>
        <v>#DIV/0!</v>
      </c>
      <c r="AS123" s="28"/>
      <c r="AT123" s="28">
        <f>Table4[[#This Row],[Φ]]*100</f>
        <v>0</v>
      </c>
      <c r="AU123" s="28"/>
      <c r="AV123" s="28"/>
    </row>
    <row r="124" spans="3:48" x14ac:dyDescent="0.3">
      <c r="C124" s="27" t="e">
        <f>VLOOKUP(Table4[[#This Row],[Marker name]],BaseInfos_Table[#All],6,FALSE)</f>
        <v>#N/A</v>
      </c>
      <c r="G124" s="41" t="e">
        <f>(1*10^7)/Table4[[#This Row],[cm-1]]</f>
        <v>#DIV/0!</v>
      </c>
      <c r="I124" s="41" t="e">
        <f>(1*10^7)/Table4[[#This Row],[cm-2]]</f>
        <v>#DIV/0!</v>
      </c>
      <c r="K124" s="41" t="e">
        <f>(1*10^7)/Table4[[#This Row],[cm-3]]</f>
        <v>#DIV/0!</v>
      </c>
      <c r="R124" s="41" t="e">
        <f>(1*10^7)/Table4[[#This Row],[nm2]]</f>
        <v>#DIV/0!</v>
      </c>
      <c r="T124" s="41" t="e">
        <f>(1*10^7)/Table4[[#This Row],[nm12]]</f>
        <v>#DIV/0!</v>
      </c>
      <c r="Z124" s="28"/>
      <c r="AA124" s="28"/>
      <c r="AB124" s="28" t="e">
        <f>(1/Table4[[#This Row],[nm5]])*10^7</f>
        <v>#DIV/0!</v>
      </c>
      <c r="AC124" s="28"/>
      <c r="AD124" s="28" t="e">
        <f>(1/Table4[[#This Row],[nm8]])*10^7</f>
        <v>#DIV/0!</v>
      </c>
      <c r="AE124" s="28"/>
      <c r="AF124" s="28" t="e">
        <f>(1/Table4[[#This Row],[nm9]])*10^7</f>
        <v>#DIV/0!</v>
      </c>
      <c r="AG124" s="28"/>
      <c r="AH124" s="28"/>
      <c r="AI124" s="28" t="e">
        <f>(1/Table4[[#This Row],[nm4]])*10^7</f>
        <v>#DIV/0!</v>
      </c>
      <c r="AJ124" s="28"/>
      <c r="AK124" s="28" t="e">
        <f>(1/Table4[[#This Row],[nm14]])*10^7</f>
        <v>#DIV/0!</v>
      </c>
      <c r="AL124" s="28"/>
      <c r="AM124" s="28"/>
      <c r="AN124" s="28" t="e">
        <f>(1/Table4[[#This Row],[nm28]])*10^7</f>
        <v>#DIV/0!</v>
      </c>
      <c r="AO124" s="28"/>
      <c r="AP124" s="28" t="e">
        <f>(1/Table4[[#This Row],[nm10]])*10^7</f>
        <v>#DIV/0!</v>
      </c>
      <c r="AQ124" s="28"/>
      <c r="AR124" s="28" t="e">
        <f>(1/Table4[[#This Row],[nm11]])*10^7</f>
        <v>#DIV/0!</v>
      </c>
      <c r="AS124" s="28"/>
      <c r="AT124" s="28">
        <f>Table4[[#This Row],[Φ]]*100</f>
        <v>0</v>
      </c>
      <c r="AU124" s="28"/>
      <c r="AV124" s="28"/>
    </row>
    <row r="125" spans="3:48" x14ac:dyDescent="0.3">
      <c r="C125" s="27" t="e">
        <f>VLOOKUP(Table4[[#This Row],[Marker name]],BaseInfos_Table[#All],6,FALSE)</f>
        <v>#N/A</v>
      </c>
      <c r="G125" s="41" t="e">
        <f>(1*10^7)/Table4[[#This Row],[cm-1]]</f>
        <v>#DIV/0!</v>
      </c>
      <c r="I125" s="41" t="e">
        <f>(1*10^7)/Table4[[#This Row],[cm-2]]</f>
        <v>#DIV/0!</v>
      </c>
      <c r="K125" s="41" t="e">
        <f>(1*10^7)/Table4[[#This Row],[cm-3]]</f>
        <v>#DIV/0!</v>
      </c>
      <c r="R125" s="41" t="e">
        <f>(1*10^7)/Table4[[#This Row],[nm2]]</f>
        <v>#DIV/0!</v>
      </c>
      <c r="T125" s="41" t="e">
        <f>(1*10^7)/Table4[[#This Row],[nm12]]</f>
        <v>#DIV/0!</v>
      </c>
      <c r="Z125" s="28"/>
      <c r="AA125" s="28"/>
      <c r="AB125" s="28" t="e">
        <f>(1/Table4[[#This Row],[nm5]])*10^7</f>
        <v>#DIV/0!</v>
      </c>
      <c r="AC125" s="28"/>
      <c r="AD125" s="28" t="e">
        <f>(1/Table4[[#This Row],[nm8]])*10^7</f>
        <v>#DIV/0!</v>
      </c>
      <c r="AE125" s="28"/>
      <c r="AF125" s="28" t="e">
        <f>(1/Table4[[#This Row],[nm9]])*10^7</f>
        <v>#DIV/0!</v>
      </c>
      <c r="AG125" s="28"/>
      <c r="AH125" s="28"/>
      <c r="AI125" s="28" t="e">
        <f>(1/Table4[[#This Row],[nm4]])*10^7</f>
        <v>#DIV/0!</v>
      </c>
      <c r="AJ125" s="28"/>
      <c r="AK125" s="28" t="e">
        <f>(1/Table4[[#This Row],[nm14]])*10^7</f>
        <v>#DIV/0!</v>
      </c>
      <c r="AL125" s="28"/>
      <c r="AM125" s="28"/>
      <c r="AN125" s="28" t="e">
        <f>(1/Table4[[#This Row],[nm28]])*10^7</f>
        <v>#DIV/0!</v>
      </c>
      <c r="AO125" s="28"/>
      <c r="AP125" s="28" t="e">
        <f>(1/Table4[[#This Row],[nm10]])*10^7</f>
        <v>#DIV/0!</v>
      </c>
      <c r="AQ125" s="28"/>
      <c r="AR125" s="28" t="e">
        <f>(1/Table4[[#This Row],[nm11]])*10^7</f>
        <v>#DIV/0!</v>
      </c>
      <c r="AS125" s="28"/>
      <c r="AT125" s="28">
        <f>Table4[[#This Row],[Φ]]*100</f>
        <v>0</v>
      </c>
      <c r="AU125" s="28"/>
      <c r="AV125" s="28"/>
    </row>
    <row r="126" spans="3:48" x14ac:dyDescent="0.3">
      <c r="C126" s="27" t="e">
        <f>VLOOKUP(Table4[[#This Row],[Marker name]],BaseInfos_Table[#All],6,FALSE)</f>
        <v>#N/A</v>
      </c>
      <c r="G126" s="41" t="e">
        <f>(1*10^7)/Table4[[#This Row],[cm-1]]</f>
        <v>#DIV/0!</v>
      </c>
      <c r="I126" s="41" t="e">
        <f>(1*10^7)/Table4[[#This Row],[cm-2]]</f>
        <v>#DIV/0!</v>
      </c>
      <c r="K126" s="41" t="e">
        <f>(1*10^7)/Table4[[#This Row],[cm-3]]</f>
        <v>#DIV/0!</v>
      </c>
      <c r="R126" s="41" t="e">
        <f>(1*10^7)/Table4[[#This Row],[nm2]]</f>
        <v>#DIV/0!</v>
      </c>
      <c r="T126" s="41" t="e">
        <f>(1*10^7)/Table4[[#This Row],[nm12]]</f>
        <v>#DIV/0!</v>
      </c>
      <c r="Z126" s="28"/>
      <c r="AA126" s="28"/>
      <c r="AB126" s="28" t="e">
        <f>(1/Table4[[#This Row],[nm5]])*10^7</f>
        <v>#DIV/0!</v>
      </c>
      <c r="AC126" s="28"/>
      <c r="AD126" s="28" t="e">
        <f>(1/Table4[[#This Row],[nm8]])*10^7</f>
        <v>#DIV/0!</v>
      </c>
      <c r="AE126" s="28"/>
      <c r="AF126" s="28" t="e">
        <f>(1/Table4[[#This Row],[nm9]])*10^7</f>
        <v>#DIV/0!</v>
      </c>
      <c r="AG126" s="28"/>
      <c r="AH126" s="28"/>
      <c r="AI126" s="28" t="e">
        <f>(1/Table4[[#This Row],[nm4]])*10^7</f>
        <v>#DIV/0!</v>
      </c>
      <c r="AJ126" s="28"/>
      <c r="AK126" s="28" t="e">
        <f>(1/Table4[[#This Row],[nm14]])*10^7</f>
        <v>#DIV/0!</v>
      </c>
      <c r="AL126" s="28"/>
      <c r="AM126" s="28"/>
      <c r="AN126" s="28" t="e">
        <f>(1/Table4[[#This Row],[nm28]])*10^7</f>
        <v>#DIV/0!</v>
      </c>
      <c r="AO126" s="28"/>
      <c r="AP126" s="28" t="e">
        <f>(1/Table4[[#This Row],[nm10]])*10^7</f>
        <v>#DIV/0!</v>
      </c>
      <c r="AQ126" s="28"/>
      <c r="AR126" s="28" t="e">
        <f>(1/Table4[[#This Row],[nm11]])*10^7</f>
        <v>#DIV/0!</v>
      </c>
      <c r="AS126" s="28"/>
      <c r="AT126" s="28">
        <f>Table4[[#This Row],[Φ]]*100</f>
        <v>0</v>
      </c>
      <c r="AU126" s="28"/>
      <c r="AV126" s="28"/>
    </row>
    <row r="127" spans="3:48" x14ac:dyDescent="0.3">
      <c r="C127" s="27" t="e">
        <f>VLOOKUP(Table4[[#This Row],[Marker name]],BaseInfos_Table[#All],6,FALSE)</f>
        <v>#N/A</v>
      </c>
      <c r="G127" s="41" t="e">
        <f>(1*10^7)/Table4[[#This Row],[cm-1]]</f>
        <v>#DIV/0!</v>
      </c>
      <c r="I127" s="41" t="e">
        <f>(1*10^7)/Table4[[#This Row],[cm-2]]</f>
        <v>#DIV/0!</v>
      </c>
      <c r="K127" s="41" t="e">
        <f>(1*10^7)/Table4[[#This Row],[cm-3]]</f>
        <v>#DIV/0!</v>
      </c>
      <c r="R127" s="41" t="e">
        <f>(1*10^7)/Table4[[#This Row],[nm2]]</f>
        <v>#DIV/0!</v>
      </c>
      <c r="T127" s="41" t="e">
        <f>(1*10^7)/Table4[[#This Row],[nm12]]</f>
        <v>#DIV/0!</v>
      </c>
      <c r="Z127" s="28"/>
      <c r="AA127" s="28"/>
      <c r="AB127" s="28" t="e">
        <f>(1/Table4[[#This Row],[nm5]])*10^7</f>
        <v>#DIV/0!</v>
      </c>
      <c r="AC127" s="28"/>
      <c r="AD127" s="28" t="e">
        <f>(1/Table4[[#This Row],[nm8]])*10^7</f>
        <v>#DIV/0!</v>
      </c>
      <c r="AE127" s="28"/>
      <c r="AF127" s="28" t="e">
        <f>(1/Table4[[#This Row],[nm9]])*10^7</f>
        <v>#DIV/0!</v>
      </c>
      <c r="AG127" s="28"/>
      <c r="AH127" s="28"/>
      <c r="AI127" s="28" t="e">
        <f>(1/Table4[[#This Row],[nm4]])*10^7</f>
        <v>#DIV/0!</v>
      </c>
      <c r="AJ127" s="28"/>
      <c r="AK127" s="28" t="e">
        <f>(1/Table4[[#This Row],[nm14]])*10^7</f>
        <v>#DIV/0!</v>
      </c>
      <c r="AL127" s="28"/>
      <c r="AM127" s="28"/>
      <c r="AN127" s="28" t="e">
        <f>(1/Table4[[#This Row],[nm28]])*10^7</f>
        <v>#DIV/0!</v>
      </c>
      <c r="AO127" s="28"/>
      <c r="AP127" s="28" t="e">
        <f>(1/Table4[[#This Row],[nm10]])*10^7</f>
        <v>#DIV/0!</v>
      </c>
      <c r="AQ127" s="28"/>
      <c r="AR127" s="28" t="e">
        <f>(1/Table4[[#This Row],[nm11]])*10^7</f>
        <v>#DIV/0!</v>
      </c>
      <c r="AS127" s="28"/>
      <c r="AT127" s="28">
        <f>Table4[[#This Row],[Φ]]*100</f>
        <v>0</v>
      </c>
      <c r="AU127" s="28"/>
      <c r="AV127" s="28"/>
    </row>
    <row r="128" spans="3:48" x14ac:dyDescent="0.3">
      <c r="C128" s="27" t="e">
        <f>VLOOKUP(Table4[[#This Row],[Marker name]],BaseInfos_Table[#All],6,FALSE)</f>
        <v>#N/A</v>
      </c>
      <c r="G128" s="41" t="e">
        <f>(1*10^7)/Table4[[#This Row],[cm-1]]</f>
        <v>#DIV/0!</v>
      </c>
      <c r="I128" s="41" t="e">
        <f>(1*10^7)/Table4[[#This Row],[cm-2]]</f>
        <v>#DIV/0!</v>
      </c>
      <c r="K128" s="41" t="e">
        <f>(1*10^7)/Table4[[#This Row],[cm-3]]</f>
        <v>#DIV/0!</v>
      </c>
      <c r="R128" s="41" t="e">
        <f>(1*10^7)/Table4[[#This Row],[nm2]]</f>
        <v>#DIV/0!</v>
      </c>
      <c r="T128" s="41" t="e">
        <f>(1*10^7)/Table4[[#This Row],[nm12]]</f>
        <v>#DIV/0!</v>
      </c>
      <c r="Z128" s="28"/>
      <c r="AA128" s="28"/>
      <c r="AB128" s="28" t="e">
        <f>(1/Table4[[#This Row],[nm5]])*10^7</f>
        <v>#DIV/0!</v>
      </c>
      <c r="AC128" s="28"/>
      <c r="AD128" s="28" t="e">
        <f>(1/Table4[[#This Row],[nm8]])*10^7</f>
        <v>#DIV/0!</v>
      </c>
      <c r="AE128" s="28"/>
      <c r="AF128" s="28" t="e">
        <f>(1/Table4[[#This Row],[nm9]])*10^7</f>
        <v>#DIV/0!</v>
      </c>
      <c r="AG128" s="28"/>
      <c r="AH128" s="28"/>
      <c r="AI128" s="28" t="e">
        <f>(1/Table4[[#This Row],[nm4]])*10^7</f>
        <v>#DIV/0!</v>
      </c>
      <c r="AJ128" s="28"/>
      <c r="AK128" s="28" t="e">
        <f>(1/Table4[[#This Row],[nm14]])*10^7</f>
        <v>#DIV/0!</v>
      </c>
      <c r="AL128" s="28"/>
      <c r="AM128" s="28"/>
      <c r="AN128" s="28" t="e">
        <f>(1/Table4[[#This Row],[nm28]])*10^7</f>
        <v>#DIV/0!</v>
      </c>
      <c r="AO128" s="28"/>
      <c r="AP128" s="28" t="e">
        <f>(1/Table4[[#This Row],[nm10]])*10^7</f>
        <v>#DIV/0!</v>
      </c>
      <c r="AQ128" s="28"/>
      <c r="AR128" s="28" t="e">
        <f>(1/Table4[[#This Row],[nm11]])*10^7</f>
        <v>#DIV/0!</v>
      </c>
      <c r="AS128" s="28"/>
      <c r="AT128" s="28">
        <f>Table4[[#This Row],[Φ]]*100</f>
        <v>0</v>
      </c>
      <c r="AU128" s="28"/>
      <c r="AV128" s="28"/>
    </row>
    <row r="129" spans="3:48" x14ac:dyDescent="0.3">
      <c r="C129" s="27" t="e">
        <f>VLOOKUP(Table4[[#This Row],[Marker name]],BaseInfos_Table[#All],6,FALSE)</f>
        <v>#N/A</v>
      </c>
      <c r="G129" s="41" t="e">
        <f>(1*10^7)/Table4[[#This Row],[cm-1]]</f>
        <v>#DIV/0!</v>
      </c>
      <c r="I129" s="41" t="e">
        <f>(1*10^7)/Table4[[#This Row],[cm-2]]</f>
        <v>#DIV/0!</v>
      </c>
      <c r="K129" s="41" t="e">
        <f>(1*10^7)/Table4[[#This Row],[cm-3]]</f>
        <v>#DIV/0!</v>
      </c>
      <c r="R129" s="41" t="e">
        <f>(1*10^7)/Table4[[#This Row],[nm2]]</f>
        <v>#DIV/0!</v>
      </c>
      <c r="T129" s="41" t="e">
        <f>(1*10^7)/Table4[[#This Row],[nm12]]</f>
        <v>#DIV/0!</v>
      </c>
      <c r="Z129" s="28"/>
      <c r="AA129" s="28"/>
      <c r="AB129" s="28" t="e">
        <f>(1/Table4[[#This Row],[nm5]])*10^7</f>
        <v>#DIV/0!</v>
      </c>
      <c r="AC129" s="28"/>
      <c r="AD129" s="28" t="e">
        <f>(1/Table4[[#This Row],[nm8]])*10^7</f>
        <v>#DIV/0!</v>
      </c>
      <c r="AE129" s="28"/>
      <c r="AF129" s="28" t="e">
        <f>(1/Table4[[#This Row],[nm9]])*10^7</f>
        <v>#DIV/0!</v>
      </c>
      <c r="AG129" s="28"/>
      <c r="AH129" s="28"/>
      <c r="AI129" s="28" t="e">
        <f>(1/Table4[[#This Row],[nm4]])*10^7</f>
        <v>#DIV/0!</v>
      </c>
      <c r="AJ129" s="28"/>
      <c r="AK129" s="28" t="e">
        <f>(1/Table4[[#This Row],[nm14]])*10^7</f>
        <v>#DIV/0!</v>
      </c>
      <c r="AL129" s="28"/>
      <c r="AM129" s="28"/>
      <c r="AN129" s="28" t="e">
        <f>(1/Table4[[#This Row],[nm28]])*10^7</f>
        <v>#DIV/0!</v>
      </c>
      <c r="AO129" s="28"/>
      <c r="AP129" s="28" t="e">
        <f>(1/Table4[[#This Row],[nm10]])*10^7</f>
        <v>#DIV/0!</v>
      </c>
      <c r="AQ129" s="28"/>
      <c r="AR129" s="28" t="e">
        <f>(1/Table4[[#This Row],[nm11]])*10^7</f>
        <v>#DIV/0!</v>
      </c>
      <c r="AS129" s="28"/>
      <c r="AT129" s="28">
        <f>Table4[[#This Row],[Φ]]*100</f>
        <v>0</v>
      </c>
      <c r="AU129" s="28"/>
      <c r="AV129" s="28"/>
    </row>
    <row r="130" spans="3:48" x14ac:dyDescent="0.3">
      <c r="C130" s="27" t="e">
        <f>VLOOKUP(Table4[[#This Row],[Marker name]],BaseInfos_Table[#All],6,FALSE)</f>
        <v>#N/A</v>
      </c>
      <c r="G130" s="41" t="e">
        <f>(1*10^7)/Table4[[#This Row],[cm-1]]</f>
        <v>#DIV/0!</v>
      </c>
      <c r="I130" s="41" t="e">
        <f>(1*10^7)/Table4[[#This Row],[cm-2]]</f>
        <v>#DIV/0!</v>
      </c>
      <c r="K130" s="41" t="e">
        <f>(1*10^7)/Table4[[#This Row],[cm-3]]</f>
        <v>#DIV/0!</v>
      </c>
      <c r="R130" s="41" t="e">
        <f>(1*10^7)/Table4[[#This Row],[nm2]]</f>
        <v>#DIV/0!</v>
      </c>
      <c r="T130" s="41" t="e">
        <f>(1*10^7)/Table4[[#This Row],[nm12]]</f>
        <v>#DIV/0!</v>
      </c>
      <c r="Z130" s="28"/>
      <c r="AA130" s="28"/>
      <c r="AB130" s="28" t="e">
        <f>(1/Table4[[#This Row],[nm5]])*10^7</f>
        <v>#DIV/0!</v>
      </c>
      <c r="AC130" s="28"/>
      <c r="AD130" s="28" t="e">
        <f>(1/Table4[[#This Row],[nm8]])*10^7</f>
        <v>#DIV/0!</v>
      </c>
      <c r="AE130" s="28"/>
      <c r="AF130" s="28" t="e">
        <f>(1/Table4[[#This Row],[nm9]])*10^7</f>
        <v>#DIV/0!</v>
      </c>
      <c r="AG130" s="28"/>
      <c r="AH130" s="28"/>
      <c r="AI130" s="28" t="e">
        <f>(1/Table4[[#This Row],[nm4]])*10^7</f>
        <v>#DIV/0!</v>
      </c>
      <c r="AJ130" s="28"/>
      <c r="AK130" s="28" t="e">
        <f>(1/Table4[[#This Row],[nm14]])*10^7</f>
        <v>#DIV/0!</v>
      </c>
      <c r="AL130" s="28"/>
      <c r="AM130" s="28"/>
      <c r="AN130" s="28" t="e">
        <f>(1/Table4[[#This Row],[nm28]])*10^7</f>
        <v>#DIV/0!</v>
      </c>
      <c r="AO130" s="28"/>
      <c r="AP130" s="28" t="e">
        <f>(1/Table4[[#This Row],[nm10]])*10^7</f>
        <v>#DIV/0!</v>
      </c>
      <c r="AQ130" s="28"/>
      <c r="AR130" s="28" t="e">
        <f>(1/Table4[[#This Row],[nm11]])*10^7</f>
        <v>#DIV/0!</v>
      </c>
      <c r="AS130" s="28"/>
      <c r="AT130" s="28">
        <f>Table4[[#This Row],[Φ]]*100</f>
        <v>0</v>
      </c>
      <c r="AU130" s="28"/>
      <c r="AV130" s="28"/>
    </row>
    <row r="131" spans="3:48" x14ac:dyDescent="0.3">
      <c r="C131" s="27" t="e">
        <f>VLOOKUP(Table4[[#This Row],[Marker name]],BaseInfos_Table[#All],6,FALSE)</f>
        <v>#N/A</v>
      </c>
      <c r="G131" s="41" t="e">
        <f>(1*10^7)/Table4[[#This Row],[cm-1]]</f>
        <v>#DIV/0!</v>
      </c>
      <c r="I131" s="41" t="e">
        <f>(1*10^7)/Table4[[#This Row],[cm-2]]</f>
        <v>#DIV/0!</v>
      </c>
      <c r="K131" s="41" t="e">
        <f>(1*10^7)/Table4[[#This Row],[cm-3]]</f>
        <v>#DIV/0!</v>
      </c>
      <c r="R131" s="41" t="e">
        <f>(1*10^7)/Table4[[#This Row],[nm2]]</f>
        <v>#DIV/0!</v>
      </c>
      <c r="T131" s="41" t="e">
        <f>(1*10^7)/Table4[[#This Row],[nm12]]</f>
        <v>#DIV/0!</v>
      </c>
      <c r="Z131" s="28"/>
      <c r="AA131" s="28"/>
      <c r="AB131" s="28" t="e">
        <f>(1/Table4[[#This Row],[nm5]])*10^7</f>
        <v>#DIV/0!</v>
      </c>
      <c r="AC131" s="28"/>
      <c r="AD131" s="28" t="e">
        <f>(1/Table4[[#This Row],[nm8]])*10^7</f>
        <v>#DIV/0!</v>
      </c>
      <c r="AE131" s="28"/>
      <c r="AF131" s="28" t="e">
        <f>(1/Table4[[#This Row],[nm9]])*10^7</f>
        <v>#DIV/0!</v>
      </c>
      <c r="AG131" s="28"/>
      <c r="AH131" s="28"/>
      <c r="AI131" s="28" t="e">
        <f>(1/Table4[[#This Row],[nm4]])*10^7</f>
        <v>#DIV/0!</v>
      </c>
      <c r="AJ131" s="28"/>
      <c r="AK131" s="28" t="e">
        <f>(1/Table4[[#This Row],[nm14]])*10^7</f>
        <v>#DIV/0!</v>
      </c>
      <c r="AL131" s="28"/>
      <c r="AM131" s="28"/>
      <c r="AN131" s="28" t="e">
        <f>(1/Table4[[#This Row],[nm28]])*10^7</f>
        <v>#DIV/0!</v>
      </c>
      <c r="AO131" s="28"/>
      <c r="AP131" s="28" t="e">
        <f>(1/Table4[[#This Row],[nm10]])*10^7</f>
        <v>#DIV/0!</v>
      </c>
      <c r="AQ131" s="28"/>
      <c r="AR131" s="28" t="e">
        <f>(1/Table4[[#This Row],[nm11]])*10^7</f>
        <v>#DIV/0!</v>
      </c>
      <c r="AS131" s="28"/>
      <c r="AT131" s="28">
        <f>Table4[[#This Row],[Φ]]*100</f>
        <v>0</v>
      </c>
      <c r="AU131" s="28"/>
      <c r="AV131" s="28"/>
    </row>
    <row r="132" spans="3:48" x14ac:dyDescent="0.3">
      <c r="C132" s="27" t="e">
        <f>VLOOKUP(Table4[[#This Row],[Marker name]],BaseInfos_Table[#All],6,FALSE)</f>
        <v>#N/A</v>
      </c>
      <c r="G132" s="41" t="e">
        <f>(1*10^7)/Table4[[#This Row],[cm-1]]</f>
        <v>#DIV/0!</v>
      </c>
      <c r="I132" s="41" t="e">
        <f>(1*10^7)/Table4[[#This Row],[cm-2]]</f>
        <v>#DIV/0!</v>
      </c>
      <c r="K132" s="41" t="e">
        <f>(1*10^7)/Table4[[#This Row],[cm-3]]</f>
        <v>#DIV/0!</v>
      </c>
      <c r="R132" s="41" t="e">
        <f>(1*10^7)/Table4[[#This Row],[nm2]]</f>
        <v>#DIV/0!</v>
      </c>
      <c r="T132" s="41" t="e">
        <f>(1*10^7)/Table4[[#This Row],[nm12]]</f>
        <v>#DIV/0!</v>
      </c>
      <c r="Z132" s="28"/>
      <c r="AA132" s="28"/>
      <c r="AB132" s="28" t="e">
        <f>(1/Table4[[#This Row],[nm5]])*10^7</f>
        <v>#DIV/0!</v>
      </c>
      <c r="AC132" s="28"/>
      <c r="AD132" s="28" t="e">
        <f>(1/Table4[[#This Row],[nm8]])*10^7</f>
        <v>#DIV/0!</v>
      </c>
      <c r="AE132" s="28"/>
      <c r="AF132" s="28" t="e">
        <f>(1/Table4[[#This Row],[nm9]])*10^7</f>
        <v>#DIV/0!</v>
      </c>
      <c r="AG132" s="28"/>
      <c r="AH132" s="28"/>
      <c r="AI132" s="28" t="e">
        <f>(1/Table4[[#This Row],[nm4]])*10^7</f>
        <v>#DIV/0!</v>
      </c>
      <c r="AJ132" s="28"/>
      <c r="AK132" s="28" t="e">
        <f>(1/Table4[[#This Row],[nm14]])*10^7</f>
        <v>#DIV/0!</v>
      </c>
      <c r="AL132" s="28"/>
      <c r="AM132" s="28"/>
      <c r="AN132" s="28" t="e">
        <f>(1/Table4[[#This Row],[nm28]])*10^7</f>
        <v>#DIV/0!</v>
      </c>
      <c r="AO132" s="28"/>
      <c r="AP132" s="28" t="e">
        <f>(1/Table4[[#This Row],[nm10]])*10^7</f>
        <v>#DIV/0!</v>
      </c>
      <c r="AQ132" s="28"/>
      <c r="AR132" s="28" t="e">
        <f>(1/Table4[[#This Row],[nm11]])*10^7</f>
        <v>#DIV/0!</v>
      </c>
      <c r="AS132" s="28"/>
      <c r="AT132" s="28">
        <f>Table4[[#This Row],[Φ]]*100</f>
        <v>0</v>
      </c>
      <c r="AU132" s="28"/>
      <c r="AV132" s="28"/>
    </row>
    <row r="133" spans="3:48" x14ac:dyDescent="0.3">
      <c r="C133" s="27" t="e">
        <f>VLOOKUP(Table4[[#This Row],[Marker name]],BaseInfos_Table[#All],6,FALSE)</f>
        <v>#N/A</v>
      </c>
      <c r="G133" s="41" t="e">
        <f>(1*10^7)/Table4[[#This Row],[cm-1]]</f>
        <v>#DIV/0!</v>
      </c>
      <c r="I133" s="41" t="e">
        <f>(1*10^7)/Table4[[#This Row],[cm-2]]</f>
        <v>#DIV/0!</v>
      </c>
      <c r="K133" s="41" t="e">
        <f>(1*10^7)/Table4[[#This Row],[cm-3]]</f>
        <v>#DIV/0!</v>
      </c>
      <c r="R133" s="41" t="e">
        <f>(1*10^7)/Table4[[#This Row],[nm2]]</f>
        <v>#DIV/0!</v>
      </c>
      <c r="T133" s="41" t="e">
        <f>(1*10^7)/Table4[[#This Row],[nm12]]</f>
        <v>#DIV/0!</v>
      </c>
      <c r="Z133" s="28"/>
      <c r="AA133" s="28"/>
      <c r="AB133" s="28" t="e">
        <f>(1/Table4[[#This Row],[nm5]])*10^7</f>
        <v>#DIV/0!</v>
      </c>
      <c r="AC133" s="28"/>
      <c r="AD133" s="28" t="e">
        <f>(1/Table4[[#This Row],[nm8]])*10^7</f>
        <v>#DIV/0!</v>
      </c>
      <c r="AE133" s="28"/>
      <c r="AF133" s="28" t="e">
        <f>(1/Table4[[#This Row],[nm9]])*10^7</f>
        <v>#DIV/0!</v>
      </c>
      <c r="AG133" s="28"/>
      <c r="AH133" s="28"/>
      <c r="AI133" s="28" t="e">
        <f>(1/Table4[[#This Row],[nm4]])*10^7</f>
        <v>#DIV/0!</v>
      </c>
      <c r="AJ133" s="28"/>
      <c r="AK133" s="28" t="e">
        <f>(1/Table4[[#This Row],[nm14]])*10^7</f>
        <v>#DIV/0!</v>
      </c>
      <c r="AL133" s="28"/>
      <c r="AM133" s="28"/>
      <c r="AN133" s="28" t="e">
        <f>(1/Table4[[#This Row],[nm28]])*10^7</f>
        <v>#DIV/0!</v>
      </c>
      <c r="AO133" s="28"/>
      <c r="AP133" s="28" t="e">
        <f>(1/Table4[[#This Row],[nm10]])*10^7</f>
        <v>#DIV/0!</v>
      </c>
      <c r="AQ133" s="28"/>
      <c r="AR133" s="28" t="e">
        <f>(1/Table4[[#This Row],[nm11]])*10^7</f>
        <v>#DIV/0!</v>
      </c>
      <c r="AS133" s="28"/>
      <c r="AT133" s="28">
        <f>Table4[[#This Row],[Φ]]*100</f>
        <v>0</v>
      </c>
      <c r="AU133" s="28"/>
      <c r="AV133" s="28"/>
    </row>
    <row r="134" spans="3:48" x14ac:dyDescent="0.3">
      <c r="C134" s="27" t="e">
        <f>VLOOKUP(Table4[[#This Row],[Marker name]],BaseInfos_Table[#All],6,FALSE)</f>
        <v>#N/A</v>
      </c>
      <c r="G134" s="41" t="e">
        <f>(1*10^7)/Table4[[#This Row],[cm-1]]</f>
        <v>#DIV/0!</v>
      </c>
      <c r="I134" s="41" t="e">
        <f>(1*10^7)/Table4[[#This Row],[cm-2]]</f>
        <v>#DIV/0!</v>
      </c>
      <c r="K134" s="41" t="e">
        <f>(1*10^7)/Table4[[#This Row],[cm-3]]</f>
        <v>#DIV/0!</v>
      </c>
      <c r="R134" s="41" t="e">
        <f>(1*10^7)/Table4[[#This Row],[nm2]]</f>
        <v>#DIV/0!</v>
      </c>
      <c r="T134" s="41" t="e">
        <f>(1*10^7)/Table4[[#This Row],[nm12]]</f>
        <v>#DIV/0!</v>
      </c>
      <c r="Z134" s="28"/>
      <c r="AA134" s="28"/>
      <c r="AB134" s="28" t="e">
        <f>(1/Table4[[#This Row],[nm5]])*10^7</f>
        <v>#DIV/0!</v>
      </c>
      <c r="AC134" s="28"/>
      <c r="AD134" s="28" t="e">
        <f>(1/Table4[[#This Row],[nm8]])*10^7</f>
        <v>#DIV/0!</v>
      </c>
      <c r="AE134" s="28"/>
      <c r="AF134" s="28" t="e">
        <f>(1/Table4[[#This Row],[nm9]])*10^7</f>
        <v>#DIV/0!</v>
      </c>
      <c r="AG134" s="28"/>
      <c r="AH134" s="28"/>
      <c r="AI134" s="28" t="e">
        <f>(1/Table4[[#This Row],[nm4]])*10^7</f>
        <v>#DIV/0!</v>
      </c>
      <c r="AJ134" s="28"/>
      <c r="AK134" s="28" t="e">
        <f>(1/Table4[[#This Row],[nm14]])*10^7</f>
        <v>#DIV/0!</v>
      </c>
      <c r="AL134" s="28"/>
      <c r="AM134" s="28"/>
      <c r="AN134" s="28" t="e">
        <f>(1/Table4[[#This Row],[nm28]])*10^7</f>
        <v>#DIV/0!</v>
      </c>
      <c r="AO134" s="28"/>
      <c r="AP134" s="28" t="e">
        <f>(1/Table4[[#This Row],[nm10]])*10^7</f>
        <v>#DIV/0!</v>
      </c>
      <c r="AQ134" s="28"/>
      <c r="AR134" s="28" t="e">
        <f>(1/Table4[[#This Row],[nm11]])*10^7</f>
        <v>#DIV/0!</v>
      </c>
      <c r="AS134" s="28"/>
      <c r="AT134" s="28">
        <f>Table4[[#This Row],[Φ]]*100</f>
        <v>0</v>
      </c>
      <c r="AU134" s="28"/>
      <c r="AV134" s="28"/>
    </row>
    <row r="135" spans="3:48" x14ac:dyDescent="0.3">
      <c r="C135" s="27" t="e">
        <f>VLOOKUP(Table4[[#This Row],[Marker name]],BaseInfos_Table[#All],6,FALSE)</f>
        <v>#N/A</v>
      </c>
      <c r="G135" s="41" t="e">
        <f>(1*10^7)/Table4[[#This Row],[cm-1]]</f>
        <v>#DIV/0!</v>
      </c>
      <c r="I135" s="41" t="e">
        <f>(1*10^7)/Table4[[#This Row],[cm-2]]</f>
        <v>#DIV/0!</v>
      </c>
      <c r="K135" s="41" t="e">
        <f>(1*10^7)/Table4[[#This Row],[cm-3]]</f>
        <v>#DIV/0!</v>
      </c>
      <c r="R135" s="41" t="e">
        <f>(1*10^7)/Table4[[#This Row],[nm2]]</f>
        <v>#DIV/0!</v>
      </c>
      <c r="T135" s="41" t="e">
        <f>(1*10^7)/Table4[[#This Row],[nm12]]</f>
        <v>#DIV/0!</v>
      </c>
      <c r="Z135" s="28"/>
      <c r="AA135" s="28"/>
      <c r="AB135" s="28" t="e">
        <f>(1/Table4[[#This Row],[nm5]])*10^7</f>
        <v>#DIV/0!</v>
      </c>
      <c r="AC135" s="28"/>
      <c r="AD135" s="28" t="e">
        <f>(1/Table4[[#This Row],[nm8]])*10^7</f>
        <v>#DIV/0!</v>
      </c>
      <c r="AE135" s="28"/>
      <c r="AF135" s="28" t="e">
        <f>(1/Table4[[#This Row],[nm9]])*10^7</f>
        <v>#DIV/0!</v>
      </c>
      <c r="AG135" s="28"/>
      <c r="AH135" s="28"/>
      <c r="AI135" s="28" t="e">
        <f>(1/Table4[[#This Row],[nm4]])*10^7</f>
        <v>#DIV/0!</v>
      </c>
      <c r="AJ135" s="28"/>
      <c r="AK135" s="28" t="e">
        <f>(1/Table4[[#This Row],[nm14]])*10^7</f>
        <v>#DIV/0!</v>
      </c>
      <c r="AL135" s="28"/>
      <c r="AM135" s="28"/>
      <c r="AN135" s="28" t="e">
        <f>(1/Table4[[#This Row],[nm28]])*10^7</f>
        <v>#DIV/0!</v>
      </c>
      <c r="AO135" s="28"/>
      <c r="AP135" s="28" t="e">
        <f>(1/Table4[[#This Row],[nm10]])*10^7</f>
        <v>#DIV/0!</v>
      </c>
      <c r="AQ135" s="28"/>
      <c r="AR135" s="28" t="e">
        <f>(1/Table4[[#This Row],[nm11]])*10^7</f>
        <v>#DIV/0!</v>
      </c>
      <c r="AS135" s="28"/>
      <c r="AT135" s="28">
        <f>Table4[[#This Row],[Φ]]*100</f>
        <v>0</v>
      </c>
      <c r="AU135" s="28"/>
      <c r="AV135" s="28"/>
    </row>
    <row r="136" spans="3:48" x14ac:dyDescent="0.3">
      <c r="C136" s="27" t="e">
        <f>VLOOKUP(Table4[[#This Row],[Marker name]],BaseInfos_Table[#All],6,FALSE)</f>
        <v>#N/A</v>
      </c>
      <c r="G136" s="41" t="e">
        <f>(1*10^7)/Table4[[#This Row],[cm-1]]</f>
        <v>#DIV/0!</v>
      </c>
      <c r="I136" s="41" t="e">
        <f>(1*10^7)/Table4[[#This Row],[cm-2]]</f>
        <v>#DIV/0!</v>
      </c>
      <c r="K136" s="41" t="e">
        <f>(1*10^7)/Table4[[#This Row],[cm-3]]</f>
        <v>#DIV/0!</v>
      </c>
      <c r="R136" s="41" t="e">
        <f>(1*10^7)/Table4[[#This Row],[nm2]]</f>
        <v>#DIV/0!</v>
      </c>
      <c r="T136" s="41" t="e">
        <f>(1*10^7)/Table4[[#This Row],[nm12]]</f>
        <v>#DIV/0!</v>
      </c>
      <c r="Z136" s="28"/>
      <c r="AA136" s="28"/>
      <c r="AB136" s="28" t="e">
        <f>(1/Table4[[#This Row],[nm5]])*10^7</f>
        <v>#DIV/0!</v>
      </c>
      <c r="AC136" s="28"/>
      <c r="AD136" s="28" t="e">
        <f>(1/Table4[[#This Row],[nm8]])*10^7</f>
        <v>#DIV/0!</v>
      </c>
      <c r="AE136" s="28"/>
      <c r="AF136" s="28" t="e">
        <f>(1/Table4[[#This Row],[nm9]])*10^7</f>
        <v>#DIV/0!</v>
      </c>
      <c r="AG136" s="28"/>
      <c r="AH136" s="28"/>
      <c r="AI136" s="28" t="e">
        <f>(1/Table4[[#This Row],[nm4]])*10^7</f>
        <v>#DIV/0!</v>
      </c>
      <c r="AJ136" s="28"/>
      <c r="AK136" s="28" t="e">
        <f>(1/Table4[[#This Row],[nm14]])*10^7</f>
        <v>#DIV/0!</v>
      </c>
      <c r="AL136" s="28"/>
      <c r="AM136" s="28"/>
      <c r="AN136" s="28" t="e">
        <f>(1/Table4[[#This Row],[nm28]])*10^7</f>
        <v>#DIV/0!</v>
      </c>
      <c r="AO136" s="28"/>
      <c r="AP136" s="28" t="e">
        <f>(1/Table4[[#This Row],[nm10]])*10^7</f>
        <v>#DIV/0!</v>
      </c>
      <c r="AQ136" s="28"/>
      <c r="AR136" s="28" t="e">
        <f>(1/Table4[[#This Row],[nm11]])*10^7</f>
        <v>#DIV/0!</v>
      </c>
      <c r="AS136" s="28"/>
      <c r="AT136" s="28">
        <f>Table4[[#This Row],[Φ]]*100</f>
        <v>0</v>
      </c>
      <c r="AU136" s="28"/>
      <c r="AV136" s="28"/>
    </row>
    <row r="137" spans="3:48" x14ac:dyDescent="0.3">
      <c r="C137" s="27" t="e">
        <f>VLOOKUP(Table4[[#This Row],[Marker name]],BaseInfos_Table[#All],6,FALSE)</f>
        <v>#N/A</v>
      </c>
      <c r="G137" s="41" t="e">
        <f>(1*10^7)/Table4[[#This Row],[cm-1]]</f>
        <v>#DIV/0!</v>
      </c>
      <c r="I137" s="41" t="e">
        <f>(1*10^7)/Table4[[#This Row],[cm-2]]</f>
        <v>#DIV/0!</v>
      </c>
      <c r="K137" s="41" t="e">
        <f>(1*10^7)/Table4[[#This Row],[cm-3]]</f>
        <v>#DIV/0!</v>
      </c>
      <c r="R137" s="41" t="e">
        <f>(1*10^7)/Table4[[#This Row],[nm2]]</f>
        <v>#DIV/0!</v>
      </c>
      <c r="T137" s="41" t="e">
        <f>(1*10^7)/Table4[[#This Row],[nm12]]</f>
        <v>#DIV/0!</v>
      </c>
      <c r="Z137" s="28"/>
      <c r="AA137" s="28"/>
      <c r="AB137" s="28" t="e">
        <f>(1/Table4[[#This Row],[nm5]])*10^7</f>
        <v>#DIV/0!</v>
      </c>
      <c r="AC137" s="28"/>
      <c r="AD137" s="28" t="e">
        <f>(1/Table4[[#This Row],[nm8]])*10^7</f>
        <v>#DIV/0!</v>
      </c>
      <c r="AE137" s="28"/>
      <c r="AF137" s="28" t="e">
        <f>(1/Table4[[#This Row],[nm9]])*10^7</f>
        <v>#DIV/0!</v>
      </c>
      <c r="AG137" s="28"/>
      <c r="AH137" s="28"/>
      <c r="AI137" s="28" t="e">
        <f>(1/Table4[[#This Row],[nm4]])*10^7</f>
        <v>#DIV/0!</v>
      </c>
      <c r="AJ137" s="28"/>
      <c r="AK137" s="28" t="e">
        <f>(1/Table4[[#This Row],[nm14]])*10^7</f>
        <v>#DIV/0!</v>
      </c>
      <c r="AL137" s="28"/>
      <c r="AM137" s="28"/>
      <c r="AN137" s="28" t="e">
        <f>(1/Table4[[#This Row],[nm28]])*10^7</f>
        <v>#DIV/0!</v>
      </c>
      <c r="AO137" s="28"/>
      <c r="AP137" s="28" t="e">
        <f>(1/Table4[[#This Row],[nm10]])*10^7</f>
        <v>#DIV/0!</v>
      </c>
      <c r="AQ137" s="28"/>
      <c r="AR137" s="28" t="e">
        <f>(1/Table4[[#This Row],[nm11]])*10^7</f>
        <v>#DIV/0!</v>
      </c>
      <c r="AS137" s="28"/>
      <c r="AT137" s="28">
        <f>Table4[[#This Row],[Φ]]*100</f>
        <v>0</v>
      </c>
      <c r="AU137" s="28"/>
      <c r="AV137" s="28"/>
    </row>
    <row r="138" spans="3:48" x14ac:dyDescent="0.3">
      <c r="C138" s="27" t="e">
        <f>VLOOKUP(Table4[[#This Row],[Marker name]],BaseInfos_Table[#All],6,FALSE)</f>
        <v>#N/A</v>
      </c>
      <c r="G138" s="41" t="e">
        <f>(1*10^7)/Table4[[#This Row],[cm-1]]</f>
        <v>#DIV/0!</v>
      </c>
      <c r="I138" s="41" t="e">
        <f>(1*10^7)/Table4[[#This Row],[cm-2]]</f>
        <v>#DIV/0!</v>
      </c>
      <c r="K138" s="41" t="e">
        <f>(1*10^7)/Table4[[#This Row],[cm-3]]</f>
        <v>#DIV/0!</v>
      </c>
      <c r="R138" s="41" t="e">
        <f>(1*10^7)/Table4[[#This Row],[nm2]]</f>
        <v>#DIV/0!</v>
      </c>
      <c r="T138" s="41" t="e">
        <f>(1*10^7)/Table4[[#This Row],[nm12]]</f>
        <v>#DIV/0!</v>
      </c>
      <c r="Z138" s="28"/>
      <c r="AA138" s="28"/>
      <c r="AB138" s="28" t="e">
        <f>(1/Table4[[#This Row],[nm5]])*10^7</f>
        <v>#DIV/0!</v>
      </c>
      <c r="AC138" s="28"/>
      <c r="AD138" s="28" t="e">
        <f>(1/Table4[[#This Row],[nm8]])*10^7</f>
        <v>#DIV/0!</v>
      </c>
      <c r="AE138" s="28"/>
      <c r="AF138" s="28" t="e">
        <f>(1/Table4[[#This Row],[nm9]])*10^7</f>
        <v>#DIV/0!</v>
      </c>
      <c r="AG138" s="28"/>
      <c r="AH138" s="28"/>
      <c r="AI138" s="28" t="e">
        <f>(1/Table4[[#This Row],[nm4]])*10^7</f>
        <v>#DIV/0!</v>
      </c>
      <c r="AJ138" s="28"/>
      <c r="AK138" s="28" t="e">
        <f>(1/Table4[[#This Row],[nm14]])*10^7</f>
        <v>#DIV/0!</v>
      </c>
      <c r="AL138" s="28"/>
      <c r="AM138" s="28"/>
      <c r="AN138" s="28" t="e">
        <f>(1/Table4[[#This Row],[nm28]])*10^7</f>
        <v>#DIV/0!</v>
      </c>
      <c r="AO138" s="28"/>
      <c r="AP138" s="28" t="e">
        <f>(1/Table4[[#This Row],[nm10]])*10^7</f>
        <v>#DIV/0!</v>
      </c>
      <c r="AQ138" s="28"/>
      <c r="AR138" s="28" t="e">
        <f>(1/Table4[[#This Row],[nm11]])*10^7</f>
        <v>#DIV/0!</v>
      </c>
      <c r="AS138" s="28"/>
      <c r="AT138" s="28">
        <f>Table4[[#This Row],[Φ]]*100</f>
        <v>0</v>
      </c>
      <c r="AU138" s="28"/>
      <c r="AV138" s="28"/>
    </row>
    <row r="139" spans="3:48" x14ac:dyDescent="0.3">
      <c r="C139" s="27" t="e">
        <f>VLOOKUP(Table4[[#This Row],[Marker name]],BaseInfos_Table[#All],6,FALSE)</f>
        <v>#N/A</v>
      </c>
      <c r="G139" s="41" t="e">
        <f>(1*10^7)/Table4[[#This Row],[cm-1]]</f>
        <v>#DIV/0!</v>
      </c>
      <c r="I139" s="41" t="e">
        <f>(1*10^7)/Table4[[#This Row],[cm-2]]</f>
        <v>#DIV/0!</v>
      </c>
      <c r="K139" s="41" t="e">
        <f>(1*10^7)/Table4[[#This Row],[cm-3]]</f>
        <v>#DIV/0!</v>
      </c>
      <c r="R139" s="41" t="e">
        <f>(1*10^7)/Table4[[#This Row],[nm2]]</f>
        <v>#DIV/0!</v>
      </c>
      <c r="T139" s="41" t="e">
        <f>(1*10^7)/Table4[[#This Row],[nm12]]</f>
        <v>#DIV/0!</v>
      </c>
      <c r="Z139" s="28"/>
      <c r="AA139" s="28"/>
      <c r="AB139" s="28" t="e">
        <f>(1/Table4[[#This Row],[nm5]])*10^7</f>
        <v>#DIV/0!</v>
      </c>
      <c r="AC139" s="28"/>
      <c r="AD139" s="28" t="e">
        <f>(1/Table4[[#This Row],[nm8]])*10^7</f>
        <v>#DIV/0!</v>
      </c>
      <c r="AE139" s="28"/>
      <c r="AF139" s="28" t="e">
        <f>(1/Table4[[#This Row],[nm9]])*10^7</f>
        <v>#DIV/0!</v>
      </c>
      <c r="AG139" s="28"/>
      <c r="AH139" s="28"/>
      <c r="AI139" s="28" t="e">
        <f>(1/Table4[[#This Row],[nm4]])*10^7</f>
        <v>#DIV/0!</v>
      </c>
      <c r="AJ139" s="28"/>
      <c r="AK139" s="28" t="e">
        <f>(1/Table4[[#This Row],[nm14]])*10^7</f>
        <v>#DIV/0!</v>
      </c>
      <c r="AL139" s="28"/>
      <c r="AM139" s="28"/>
      <c r="AN139" s="28" t="e">
        <f>(1/Table4[[#This Row],[nm28]])*10^7</f>
        <v>#DIV/0!</v>
      </c>
      <c r="AO139" s="28"/>
      <c r="AP139" s="28" t="e">
        <f>(1/Table4[[#This Row],[nm10]])*10^7</f>
        <v>#DIV/0!</v>
      </c>
      <c r="AQ139" s="28"/>
      <c r="AR139" s="28" t="e">
        <f>(1/Table4[[#This Row],[nm11]])*10^7</f>
        <v>#DIV/0!</v>
      </c>
      <c r="AS139" s="28"/>
      <c r="AT139" s="28">
        <f>Table4[[#This Row],[Φ]]*100</f>
        <v>0</v>
      </c>
      <c r="AU139" s="28"/>
      <c r="AV139" s="28"/>
    </row>
    <row r="140" spans="3:48" x14ac:dyDescent="0.3">
      <c r="C140" s="27" t="e">
        <f>VLOOKUP(Table4[[#This Row],[Marker name]],BaseInfos_Table[#All],6,FALSE)</f>
        <v>#N/A</v>
      </c>
      <c r="G140" s="41" t="e">
        <f>(1*10^7)/Table4[[#This Row],[cm-1]]</f>
        <v>#DIV/0!</v>
      </c>
      <c r="I140" s="41" t="e">
        <f>(1*10^7)/Table4[[#This Row],[cm-2]]</f>
        <v>#DIV/0!</v>
      </c>
      <c r="K140" s="41" t="e">
        <f>(1*10^7)/Table4[[#This Row],[cm-3]]</f>
        <v>#DIV/0!</v>
      </c>
      <c r="R140" s="41" t="e">
        <f>(1*10^7)/Table4[[#This Row],[nm2]]</f>
        <v>#DIV/0!</v>
      </c>
      <c r="T140" s="41" t="e">
        <f>(1*10^7)/Table4[[#This Row],[nm12]]</f>
        <v>#DIV/0!</v>
      </c>
      <c r="Z140" s="28"/>
      <c r="AA140" s="28"/>
      <c r="AB140" s="28" t="e">
        <f>(1/Table4[[#This Row],[nm5]])*10^7</f>
        <v>#DIV/0!</v>
      </c>
      <c r="AC140" s="28"/>
      <c r="AD140" s="28" t="e">
        <f>(1/Table4[[#This Row],[nm8]])*10^7</f>
        <v>#DIV/0!</v>
      </c>
      <c r="AE140" s="28"/>
      <c r="AF140" s="28" t="e">
        <f>(1/Table4[[#This Row],[nm9]])*10^7</f>
        <v>#DIV/0!</v>
      </c>
      <c r="AG140" s="28"/>
      <c r="AH140" s="28"/>
      <c r="AI140" s="28" t="e">
        <f>(1/Table4[[#This Row],[nm4]])*10^7</f>
        <v>#DIV/0!</v>
      </c>
      <c r="AJ140" s="28"/>
      <c r="AK140" s="28" t="e">
        <f>(1/Table4[[#This Row],[nm14]])*10^7</f>
        <v>#DIV/0!</v>
      </c>
      <c r="AL140" s="28"/>
      <c r="AM140" s="28"/>
      <c r="AN140" s="28" t="e">
        <f>(1/Table4[[#This Row],[nm28]])*10^7</f>
        <v>#DIV/0!</v>
      </c>
      <c r="AO140" s="28"/>
      <c r="AP140" s="28" t="e">
        <f>(1/Table4[[#This Row],[nm10]])*10^7</f>
        <v>#DIV/0!</v>
      </c>
      <c r="AQ140" s="28"/>
      <c r="AR140" s="28" t="e">
        <f>(1/Table4[[#This Row],[nm11]])*10^7</f>
        <v>#DIV/0!</v>
      </c>
      <c r="AS140" s="28"/>
      <c r="AT140" s="28">
        <f>Table4[[#This Row],[Φ]]*100</f>
        <v>0</v>
      </c>
      <c r="AU140" s="28"/>
      <c r="AV140" s="28"/>
    </row>
    <row r="141" spans="3:48" x14ac:dyDescent="0.3">
      <c r="C141" s="27" t="e">
        <f>VLOOKUP(Table4[[#This Row],[Marker name]],BaseInfos_Table[#All],6,FALSE)</f>
        <v>#N/A</v>
      </c>
      <c r="G141" s="41" t="e">
        <f>(1*10^7)/Table4[[#This Row],[cm-1]]</f>
        <v>#DIV/0!</v>
      </c>
      <c r="I141" s="41" t="e">
        <f>(1*10^7)/Table4[[#This Row],[cm-2]]</f>
        <v>#DIV/0!</v>
      </c>
      <c r="K141" s="41" t="e">
        <f>(1*10^7)/Table4[[#This Row],[cm-3]]</f>
        <v>#DIV/0!</v>
      </c>
      <c r="R141" s="41" t="e">
        <f>(1*10^7)/Table4[[#This Row],[nm2]]</f>
        <v>#DIV/0!</v>
      </c>
      <c r="T141" s="41" t="e">
        <f>(1*10^7)/Table4[[#This Row],[nm12]]</f>
        <v>#DIV/0!</v>
      </c>
      <c r="Z141" s="28"/>
      <c r="AA141" s="28"/>
      <c r="AB141" s="28" t="e">
        <f>(1/Table4[[#This Row],[nm5]])*10^7</f>
        <v>#DIV/0!</v>
      </c>
      <c r="AC141" s="28"/>
      <c r="AD141" s="28" t="e">
        <f>(1/Table4[[#This Row],[nm8]])*10^7</f>
        <v>#DIV/0!</v>
      </c>
      <c r="AE141" s="28"/>
      <c r="AF141" s="28" t="e">
        <f>(1/Table4[[#This Row],[nm9]])*10^7</f>
        <v>#DIV/0!</v>
      </c>
      <c r="AG141" s="28"/>
      <c r="AH141" s="28"/>
      <c r="AI141" s="28" t="e">
        <f>(1/Table4[[#This Row],[nm4]])*10^7</f>
        <v>#DIV/0!</v>
      </c>
      <c r="AJ141" s="28"/>
      <c r="AK141" s="28" t="e">
        <f>(1/Table4[[#This Row],[nm14]])*10^7</f>
        <v>#DIV/0!</v>
      </c>
      <c r="AL141" s="28"/>
      <c r="AM141" s="28"/>
      <c r="AN141" s="28" t="e">
        <f>(1/Table4[[#This Row],[nm28]])*10^7</f>
        <v>#DIV/0!</v>
      </c>
      <c r="AO141" s="28"/>
      <c r="AP141" s="28" t="e">
        <f>(1/Table4[[#This Row],[nm10]])*10^7</f>
        <v>#DIV/0!</v>
      </c>
      <c r="AQ141" s="28"/>
      <c r="AR141" s="28" t="e">
        <f>(1/Table4[[#This Row],[nm11]])*10^7</f>
        <v>#DIV/0!</v>
      </c>
      <c r="AS141" s="28"/>
      <c r="AT141" s="28">
        <f>Table4[[#This Row],[Φ]]*100</f>
        <v>0</v>
      </c>
      <c r="AU141" s="28"/>
      <c r="AV141" s="28"/>
    </row>
    <row r="142" spans="3:48" x14ac:dyDescent="0.3">
      <c r="C142" s="27" t="e">
        <f>VLOOKUP(Table4[[#This Row],[Marker name]],BaseInfos_Table[#All],6,FALSE)</f>
        <v>#N/A</v>
      </c>
      <c r="G142" s="41" t="e">
        <f>(1*10^7)/Table4[[#This Row],[cm-1]]</f>
        <v>#DIV/0!</v>
      </c>
      <c r="I142" s="41" t="e">
        <f>(1*10^7)/Table4[[#This Row],[cm-2]]</f>
        <v>#DIV/0!</v>
      </c>
      <c r="K142" s="41" t="e">
        <f>(1*10^7)/Table4[[#This Row],[cm-3]]</f>
        <v>#DIV/0!</v>
      </c>
      <c r="R142" s="41" t="e">
        <f>(1*10^7)/Table4[[#This Row],[nm2]]</f>
        <v>#DIV/0!</v>
      </c>
      <c r="T142" s="41" t="e">
        <f>(1*10^7)/Table4[[#This Row],[nm12]]</f>
        <v>#DIV/0!</v>
      </c>
      <c r="Z142" s="28"/>
      <c r="AA142" s="28"/>
      <c r="AB142" s="28" t="e">
        <f>(1/Table4[[#This Row],[nm5]])*10^7</f>
        <v>#DIV/0!</v>
      </c>
      <c r="AC142" s="28"/>
      <c r="AD142" s="28" t="e">
        <f>(1/Table4[[#This Row],[nm8]])*10^7</f>
        <v>#DIV/0!</v>
      </c>
      <c r="AE142" s="28"/>
      <c r="AF142" s="28" t="e">
        <f>(1/Table4[[#This Row],[nm9]])*10^7</f>
        <v>#DIV/0!</v>
      </c>
      <c r="AG142" s="28"/>
      <c r="AH142" s="28"/>
      <c r="AI142" s="28" t="e">
        <f>(1/Table4[[#This Row],[nm4]])*10^7</f>
        <v>#DIV/0!</v>
      </c>
      <c r="AJ142" s="28"/>
      <c r="AK142" s="28" t="e">
        <f>(1/Table4[[#This Row],[nm14]])*10^7</f>
        <v>#DIV/0!</v>
      </c>
      <c r="AL142" s="28"/>
      <c r="AM142" s="28"/>
      <c r="AN142" s="28" t="e">
        <f>(1/Table4[[#This Row],[nm28]])*10^7</f>
        <v>#DIV/0!</v>
      </c>
      <c r="AO142" s="28"/>
      <c r="AP142" s="28" t="e">
        <f>(1/Table4[[#This Row],[nm10]])*10^7</f>
        <v>#DIV/0!</v>
      </c>
      <c r="AQ142" s="28"/>
      <c r="AR142" s="28" t="e">
        <f>(1/Table4[[#This Row],[nm11]])*10^7</f>
        <v>#DIV/0!</v>
      </c>
      <c r="AS142" s="28"/>
      <c r="AT142" s="28">
        <f>Table4[[#This Row],[Φ]]*100</f>
        <v>0</v>
      </c>
      <c r="AU142" s="28"/>
      <c r="AV142" s="28"/>
    </row>
    <row r="143" spans="3:48" x14ac:dyDescent="0.3">
      <c r="C143" s="27" t="e">
        <f>VLOOKUP(Table4[[#This Row],[Marker name]],BaseInfos_Table[#All],6,FALSE)</f>
        <v>#N/A</v>
      </c>
      <c r="G143" s="41" t="e">
        <f>(1*10^7)/Table4[[#This Row],[cm-1]]</f>
        <v>#DIV/0!</v>
      </c>
      <c r="I143" s="41" t="e">
        <f>(1*10^7)/Table4[[#This Row],[cm-2]]</f>
        <v>#DIV/0!</v>
      </c>
      <c r="K143" s="41" t="e">
        <f>(1*10^7)/Table4[[#This Row],[cm-3]]</f>
        <v>#DIV/0!</v>
      </c>
      <c r="R143" s="41" t="e">
        <f>(1*10^7)/Table4[[#This Row],[nm2]]</f>
        <v>#DIV/0!</v>
      </c>
      <c r="T143" s="41" t="e">
        <f>(1*10^7)/Table4[[#This Row],[nm12]]</f>
        <v>#DIV/0!</v>
      </c>
      <c r="Z143" s="28"/>
      <c r="AA143" s="28"/>
      <c r="AB143" s="28" t="e">
        <f>(1/Table4[[#This Row],[nm5]])*10^7</f>
        <v>#DIV/0!</v>
      </c>
      <c r="AC143" s="28"/>
      <c r="AD143" s="28" t="e">
        <f>(1/Table4[[#This Row],[nm8]])*10^7</f>
        <v>#DIV/0!</v>
      </c>
      <c r="AE143" s="28"/>
      <c r="AF143" s="28" t="e">
        <f>(1/Table4[[#This Row],[nm9]])*10^7</f>
        <v>#DIV/0!</v>
      </c>
      <c r="AG143" s="28"/>
      <c r="AH143" s="28"/>
      <c r="AI143" s="28" t="e">
        <f>(1/Table4[[#This Row],[nm4]])*10^7</f>
        <v>#DIV/0!</v>
      </c>
      <c r="AJ143" s="28"/>
      <c r="AK143" s="28" t="e">
        <f>(1/Table4[[#This Row],[nm14]])*10^7</f>
        <v>#DIV/0!</v>
      </c>
      <c r="AL143" s="28"/>
      <c r="AM143" s="28"/>
      <c r="AN143" s="28" t="e">
        <f>(1/Table4[[#This Row],[nm28]])*10^7</f>
        <v>#DIV/0!</v>
      </c>
      <c r="AO143" s="28"/>
      <c r="AP143" s="28" t="e">
        <f>(1/Table4[[#This Row],[nm10]])*10^7</f>
        <v>#DIV/0!</v>
      </c>
      <c r="AQ143" s="28"/>
      <c r="AR143" s="28" t="e">
        <f>(1/Table4[[#This Row],[nm11]])*10^7</f>
        <v>#DIV/0!</v>
      </c>
      <c r="AS143" s="28"/>
      <c r="AT143" s="28">
        <f>Table4[[#This Row],[Φ]]*100</f>
        <v>0</v>
      </c>
      <c r="AU143" s="28"/>
      <c r="AV143" s="28"/>
    </row>
    <row r="144" spans="3:48" x14ac:dyDescent="0.3">
      <c r="C144" s="27" t="e">
        <f>VLOOKUP(Table4[[#This Row],[Marker name]],BaseInfos_Table[#All],6,FALSE)</f>
        <v>#N/A</v>
      </c>
      <c r="G144" s="41" t="e">
        <f>(1*10^7)/Table4[[#This Row],[cm-1]]</f>
        <v>#DIV/0!</v>
      </c>
      <c r="I144" s="41" t="e">
        <f>(1*10^7)/Table4[[#This Row],[cm-2]]</f>
        <v>#DIV/0!</v>
      </c>
      <c r="K144" s="41" t="e">
        <f>(1*10^7)/Table4[[#This Row],[cm-3]]</f>
        <v>#DIV/0!</v>
      </c>
      <c r="R144" s="41" t="e">
        <f>(1*10^7)/Table4[[#This Row],[nm2]]</f>
        <v>#DIV/0!</v>
      </c>
      <c r="T144" s="41" t="e">
        <f>(1*10^7)/Table4[[#This Row],[nm12]]</f>
        <v>#DIV/0!</v>
      </c>
      <c r="Z144" s="28"/>
      <c r="AA144" s="28"/>
      <c r="AB144" s="28" t="e">
        <f>(1/Table4[[#This Row],[nm5]])*10^7</f>
        <v>#DIV/0!</v>
      </c>
      <c r="AC144" s="28"/>
      <c r="AD144" s="28" t="e">
        <f>(1/Table4[[#This Row],[nm8]])*10^7</f>
        <v>#DIV/0!</v>
      </c>
      <c r="AE144" s="28"/>
      <c r="AF144" s="28" t="e">
        <f>(1/Table4[[#This Row],[nm9]])*10^7</f>
        <v>#DIV/0!</v>
      </c>
      <c r="AG144" s="28"/>
      <c r="AH144" s="28"/>
      <c r="AI144" s="28" t="e">
        <f>(1/Table4[[#This Row],[nm4]])*10^7</f>
        <v>#DIV/0!</v>
      </c>
      <c r="AJ144" s="28"/>
      <c r="AK144" s="28" t="e">
        <f>(1/Table4[[#This Row],[nm14]])*10^7</f>
        <v>#DIV/0!</v>
      </c>
      <c r="AL144" s="28"/>
      <c r="AM144" s="28"/>
      <c r="AN144" s="28" t="e">
        <f>(1/Table4[[#This Row],[nm28]])*10^7</f>
        <v>#DIV/0!</v>
      </c>
      <c r="AO144" s="28"/>
      <c r="AP144" s="28" t="e">
        <f>(1/Table4[[#This Row],[nm10]])*10^7</f>
        <v>#DIV/0!</v>
      </c>
      <c r="AQ144" s="28"/>
      <c r="AR144" s="28" t="e">
        <f>(1/Table4[[#This Row],[nm11]])*10^7</f>
        <v>#DIV/0!</v>
      </c>
      <c r="AS144" s="28"/>
      <c r="AT144" s="28">
        <f>Table4[[#This Row],[Φ]]*100</f>
        <v>0</v>
      </c>
      <c r="AU144" s="28"/>
      <c r="AV144" s="28"/>
    </row>
    <row r="145" spans="3:48" x14ac:dyDescent="0.3">
      <c r="C145" s="27" t="e">
        <f>VLOOKUP(Table4[[#This Row],[Marker name]],BaseInfos_Table[#All],6,FALSE)</f>
        <v>#N/A</v>
      </c>
      <c r="G145" s="41" t="e">
        <f>(1*10^7)/Table4[[#This Row],[cm-1]]</f>
        <v>#DIV/0!</v>
      </c>
      <c r="I145" s="41" t="e">
        <f>(1*10^7)/Table4[[#This Row],[cm-2]]</f>
        <v>#DIV/0!</v>
      </c>
      <c r="K145" s="41" t="e">
        <f>(1*10^7)/Table4[[#This Row],[cm-3]]</f>
        <v>#DIV/0!</v>
      </c>
      <c r="R145" s="41" t="e">
        <f>(1*10^7)/Table4[[#This Row],[nm2]]</f>
        <v>#DIV/0!</v>
      </c>
      <c r="T145" s="41" t="e">
        <f>(1*10^7)/Table4[[#This Row],[nm12]]</f>
        <v>#DIV/0!</v>
      </c>
      <c r="Z145" s="28"/>
      <c r="AA145" s="28"/>
      <c r="AB145" s="28" t="e">
        <f>(1/Table4[[#This Row],[nm5]])*10^7</f>
        <v>#DIV/0!</v>
      </c>
      <c r="AC145" s="28"/>
      <c r="AD145" s="28" t="e">
        <f>(1/Table4[[#This Row],[nm8]])*10^7</f>
        <v>#DIV/0!</v>
      </c>
      <c r="AE145" s="28"/>
      <c r="AF145" s="28" t="e">
        <f>(1/Table4[[#This Row],[nm9]])*10^7</f>
        <v>#DIV/0!</v>
      </c>
      <c r="AG145" s="28"/>
      <c r="AH145" s="28"/>
      <c r="AI145" s="28" t="e">
        <f>(1/Table4[[#This Row],[nm4]])*10^7</f>
        <v>#DIV/0!</v>
      </c>
      <c r="AJ145" s="28"/>
      <c r="AK145" s="28" t="e">
        <f>(1/Table4[[#This Row],[nm14]])*10^7</f>
        <v>#DIV/0!</v>
      </c>
      <c r="AL145" s="28"/>
      <c r="AM145" s="28"/>
      <c r="AN145" s="28" t="e">
        <f>(1/Table4[[#This Row],[nm28]])*10^7</f>
        <v>#DIV/0!</v>
      </c>
      <c r="AO145" s="28"/>
      <c r="AP145" s="28" t="e">
        <f>(1/Table4[[#This Row],[nm10]])*10^7</f>
        <v>#DIV/0!</v>
      </c>
      <c r="AQ145" s="28"/>
      <c r="AR145" s="28" t="e">
        <f>(1/Table4[[#This Row],[nm11]])*10^7</f>
        <v>#DIV/0!</v>
      </c>
      <c r="AS145" s="28"/>
      <c r="AT145" s="28">
        <f>Table4[[#This Row],[Φ]]*100</f>
        <v>0</v>
      </c>
      <c r="AU145" s="28"/>
      <c r="AV145" s="28"/>
    </row>
    <row r="146" spans="3:48" x14ac:dyDescent="0.3">
      <c r="C146" s="27" t="e">
        <f>VLOOKUP(Table4[[#This Row],[Marker name]],BaseInfos_Table[#All],6,FALSE)</f>
        <v>#N/A</v>
      </c>
      <c r="G146" s="41" t="e">
        <f>(1*10^7)/Table4[[#This Row],[cm-1]]</f>
        <v>#DIV/0!</v>
      </c>
      <c r="I146" s="41" t="e">
        <f>(1*10^7)/Table4[[#This Row],[cm-2]]</f>
        <v>#DIV/0!</v>
      </c>
      <c r="K146" s="41" t="e">
        <f>(1*10^7)/Table4[[#This Row],[cm-3]]</f>
        <v>#DIV/0!</v>
      </c>
      <c r="R146" s="41" t="e">
        <f>(1*10^7)/Table4[[#This Row],[nm2]]</f>
        <v>#DIV/0!</v>
      </c>
      <c r="T146" s="41" t="e">
        <f>(1*10^7)/Table4[[#This Row],[nm12]]</f>
        <v>#DIV/0!</v>
      </c>
      <c r="Z146" s="28"/>
      <c r="AA146" s="28"/>
      <c r="AB146" s="28" t="e">
        <f>(1/Table4[[#This Row],[nm5]])*10^7</f>
        <v>#DIV/0!</v>
      </c>
      <c r="AC146" s="28"/>
      <c r="AD146" s="28" t="e">
        <f>(1/Table4[[#This Row],[nm8]])*10^7</f>
        <v>#DIV/0!</v>
      </c>
      <c r="AE146" s="28"/>
      <c r="AF146" s="28" t="e">
        <f>(1/Table4[[#This Row],[nm9]])*10^7</f>
        <v>#DIV/0!</v>
      </c>
      <c r="AG146" s="28"/>
      <c r="AH146" s="28"/>
      <c r="AI146" s="28" t="e">
        <f>(1/Table4[[#This Row],[nm4]])*10^7</f>
        <v>#DIV/0!</v>
      </c>
      <c r="AJ146" s="28"/>
      <c r="AK146" s="28" t="e">
        <f>(1/Table4[[#This Row],[nm14]])*10^7</f>
        <v>#DIV/0!</v>
      </c>
      <c r="AL146" s="28"/>
      <c r="AM146" s="28"/>
      <c r="AN146" s="28" t="e">
        <f>(1/Table4[[#This Row],[nm28]])*10^7</f>
        <v>#DIV/0!</v>
      </c>
      <c r="AO146" s="28"/>
      <c r="AP146" s="28" t="e">
        <f>(1/Table4[[#This Row],[nm10]])*10^7</f>
        <v>#DIV/0!</v>
      </c>
      <c r="AQ146" s="28"/>
      <c r="AR146" s="28" t="e">
        <f>(1/Table4[[#This Row],[nm11]])*10^7</f>
        <v>#DIV/0!</v>
      </c>
      <c r="AS146" s="28"/>
      <c r="AT146" s="28">
        <f>Table4[[#This Row],[Φ]]*100</f>
        <v>0</v>
      </c>
      <c r="AU146" s="28"/>
      <c r="AV146" s="28"/>
    </row>
    <row r="147" spans="3:48" x14ac:dyDescent="0.3">
      <c r="C147" s="27" t="e">
        <f>VLOOKUP(Table4[[#This Row],[Marker name]],BaseInfos_Table[#All],6,FALSE)</f>
        <v>#N/A</v>
      </c>
      <c r="G147" s="41" t="e">
        <f>(1*10^7)/Table4[[#This Row],[cm-1]]</f>
        <v>#DIV/0!</v>
      </c>
      <c r="I147" s="41" t="e">
        <f>(1*10^7)/Table4[[#This Row],[cm-2]]</f>
        <v>#DIV/0!</v>
      </c>
      <c r="K147" s="41" t="e">
        <f>(1*10^7)/Table4[[#This Row],[cm-3]]</f>
        <v>#DIV/0!</v>
      </c>
      <c r="R147" s="41" t="e">
        <f>(1*10^7)/Table4[[#This Row],[nm2]]</f>
        <v>#DIV/0!</v>
      </c>
      <c r="T147" s="41" t="e">
        <f>(1*10^7)/Table4[[#This Row],[nm12]]</f>
        <v>#DIV/0!</v>
      </c>
      <c r="Z147" s="28"/>
      <c r="AA147" s="28"/>
      <c r="AB147" s="28" t="e">
        <f>(1/Table4[[#This Row],[nm5]])*10^7</f>
        <v>#DIV/0!</v>
      </c>
      <c r="AC147" s="28"/>
      <c r="AD147" s="28" t="e">
        <f>(1/Table4[[#This Row],[nm8]])*10^7</f>
        <v>#DIV/0!</v>
      </c>
      <c r="AE147" s="28"/>
      <c r="AF147" s="28" t="e">
        <f>(1/Table4[[#This Row],[nm9]])*10^7</f>
        <v>#DIV/0!</v>
      </c>
      <c r="AG147" s="28"/>
      <c r="AH147" s="28"/>
      <c r="AI147" s="28" t="e">
        <f>(1/Table4[[#This Row],[nm4]])*10^7</f>
        <v>#DIV/0!</v>
      </c>
      <c r="AJ147" s="28"/>
      <c r="AK147" s="28" t="e">
        <f>(1/Table4[[#This Row],[nm14]])*10^7</f>
        <v>#DIV/0!</v>
      </c>
      <c r="AL147" s="28"/>
      <c r="AM147" s="28"/>
      <c r="AN147" s="28" t="e">
        <f>(1/Table4[[#This Row],[nm28]])*10^7</f>
        <v>#DIV/0!</v>
      </c>
      <c r="AO147" s="28"/>
      <c r="AP147" s="28" t="e">
        <f>(1/Table4[[#This Row],[nm10]])*10^7</f>
        <v>#DIV/0!</v>
      </c>
      <c r="AQ147" s="28"/>
      <c r="AR147" s="28" t="e">
        <f>(1/Table4[[#This Row],[nm11]])*10^7</f>
        <v>#DIV/0!</v>
      </c>
      <c r="AS147" s="28"/>
      <c r="AT147" s="28">
        <f>Table4[[#This Row],[Φ]]*100</f>
        <v>0</v>
      </c>
      <c r="AU147" s="28"/>
      <c r="AV147" s="28"/>
    </row>
    <row r="148" spans="3:48" x14ac:dyDescent="0.3">
      <c r="C148" s="27" t="e">
        <f>VLOOKUP(Table4[[#This Row],[Marker name]],BaseInfos_Table[#All],6,FALSE)</f>
        <v>#N/A</v>
      </c>
      <c r="G148" s="41" t="e">
        <f>(1*10^7)/Table4[[#This Row],[cm-1]]</f>
        <v>#DIV/0!</v>
      </c>
      <c r="I148" s="41" t="e">
        <f>(1*10^7)/Table4[[#This Row],[cm-2]]</f>
        <v>#DIV/0!</v>
      </c>
      <c r="K148" s="41" t="e">
        <f>(1*10^7)/Table4[[#This Row],[cm-3]]</f>
        <v>#DIV/0!</v>
      </c>
      <c r="R148" s="41" t="e">
        <f>(1*10^7)/Table4[[#This Row],[nm2]]</f>
        <v>#DIV/0!</v>
      </c>
      <c r="T148" s="41" t="e">
        <f>(1*10^7)/Table4[[#This Row],[nm12]]</f>
        <v>#DIV/0!</v>
      </c>
      <c r="Z148" s="28"/>
      <c r="AA148" s="28"/>
      <c r="AB148" s="28" t="e">
        <f>(1/Table4[[#This Row],[nm5]])*10^7</f>
        <v>#DIV/0!</v>
      </c>
      <c r="AC148" s="28"/>
      <c r="AD148" s="28" t="e">
        <f>(1/Table4[[#This Row],[nm8]])*10^7</f>
        <v>#DIV/0!</v>
      </c>
      <c r="AE148" s="28"/>
      <c r="AF148" s="28" t="e">
        <f>(1/Table4[[#This Row],[nm9]])*10^7</f>
        <v>#DIV/0!</v>
      </c>
      <c r="AG148" s="28"/>
      <c r="AH148" s="28"/>
      <c r="AI148" s="28" t="e">
        <f>(1/Table4[[#This Row],[nm4]])*10^7</f>
        <v>#DIV/0!</v>
      </c>
      <c r="AJ148" s="28"/>
      <c r="AK148" s="28" t="e">
        <f>(1/Table4[[#This Row],[nm14]])*10^7</f>
        <v>#DIV/0!</v>
      </c>
      <c r="AL148" s="28"/>
      <c r="AM148" s="28"/>
      <c r="AN148" s="28" t="e">
        <f>(1/Table4[[#This Row],[nm28]])*10^7</f>
        <v>#DIV/0!</v>
      </c>
      <c r="AO148" s="28"/>
      <c r="AP148" s="28" t="e">
        <f>(1/Table4[[#This Row],[nm10]])*10^7</f>
        <v>#DIV/0!</v>
      </c>
      <c r="AQ148" s="28"/>
      <c r="AR148" s="28" t="e">
        <f>(1/Table4[[#This Row],[nm11]])*10^7</f>
        <v>#DIV/0!</v>
      </c>
      <c r="AS148" s="28"/>
      <c r="AT148" s="28">
        <f>Table4[[#This Row],[Φ]]*100</f>
        <v>0</v>
      </c>
      <c r="AU148" s="28"/>
      <c r="AV148" s="28"/>
    </row>
    <row r="149" spans="3:48" x14ac:dyDescent="0.3">
      <c r="C149" s="27" t="e">
        <f>VLOOKUP(Table4[[#This Row],[Marker name]],BaseInfos_Table[#All],6,FALSE)</f>
        <v>#N/A</v>
      </c>
      <c r="G149" s="41" t="e">
        <f>(1*10^7)/Table4[[#This Row],[cm-1]]</f>
        <v>#DIV/0!</v>
      </c>
      <c r="I149" s="41" t="e">
        <f>(1*10^7)/Table4[[#This Row],[cm-2]]</f>
        <v>#DIV/0!</v>
      </c>
      <c r="K149" s="41" t="e">
        <f>(1*10^7)/Table4[[#This Row],[cm-3]]</f>
        <v>#DIV/0!</v>
      </c>
      <c r="R149" s="41" t="e">
        <f>(1*10^7)/Table4[[#This Row],[nm2]]</f>
        <v>#DIV/0!</v>
      </c>
      <c r="T149" s="41" t="e">
        <f>(1*10^7)/Table4[[#This Row],[nm12]]</f>
        <v>#DIV/0!</v>
      </c>
      <c r="Z149" s="28"/>
      <c r="AA149" s="28"/>
      <c r="AB149" s="28" t="e">
        <f>(1/Table4[[#This Row],[nm5]])*10^7</f>
        <v>#DIV/0!</v>
      </c>
      <c r="AC149" s="28"/>
      <c r="AD149" s="28" t="e">
        <f>(1/Table4[[#This Row],[nm8]])*10^7</f>
        <v>#DIV/0!</v>
      </c>
      <c r="AE149" s="28"/>
      <c r="AF149" s="28" t="e">
        <f>(1/Table4[[#This Row],[nm9]])*10^7</f>
        <v>#DIV/0!</v>
      </c>
      <c r="AG149" s="28"/>
      <c r="AH149" s="28"/>
      <c r="AI149" s="28" t="e">
        <f>(1/Table4[[#This Row],[nm4]])*10^7</f>
        <v>#DIV/0!</v>
      </c>
      <c r="AJ149" s="28"/>
      <c r="AK149" s="28" t="e">
        <f>(1/Table4[[#This Row],[nm14]])*10^7</f>
        <v>#DIV/0!</v>
      </c>
      <c r="AL149" s="28"/>
      <c r="AM149" s="28"/>
      <c r="AN149" s="28" t="e">
        <f>(1/Table4[[#This Row],[nm28]])*10^7</f>
        <v>#DIV/0!</v>
      </c>
      <c r="AO149" s="28"/>
      <c r="AP149" s="28" t="e">
        <f>(1/Table4[[#This Row],[nm10]])*10^7</f>
        <v>#DIV/0!</v>
      </c>
      <c r="AQ149" s="28"/>
      <c r="AR149" s="28" t="e">
        <f>(1/Table4[[#This Row],[nm11]])*10^7</f>
        <v>#DIV/0!</v>
      </c>
      <c r="AS149" s="28"/>
      <c r="AT149" s="28">
        <f>Table4[[#This Row],[Φ]]*100</f>
        <v>0</v>
      </c>
      <c r="AU149" s="28"/>
      <c r="AV149" s="28"/>
    </row>
    <row r="150" spans="3:48" x14ac:dyDescent="0.3">
      <c r="C150" s="27" t="e">
        <f>VLOOKUP(Table4[[#This Row],[Marker name]],BaseInfos_Table[#All],6,FALSE)</f>
        <v>#N/A</v>
      </c>
      <c r="G150" s="41" t="e">
        <f>(1*10^7)/Table4[[#This Row],[cm-1]]</f>
        <v>#DIV/0!</v>
      </c>
      <c r="I150" s="41" t="e">
        <f>(1*10^7)/Table4[[#This Row],[cm-2]]</f>
        <v>#DIV/0!</v>
      </c>
      <c r="K150" s="41" t="e">
        <f>(1*10^7)/Table4[[#This Row],[cm-3]]</f>
        <v>#DIV/0!</v>
      </c>
      <c r="R150" s="41" t="e">
        <f>(1*10^7)/Table4[[#This Row],[nm2]]</f>
        <v>#DIV/0!</v>
      </c>
      <c r="T150" s="41" t="e">
        <f>(1*10^7)/Table4[[#This Row],[nm12]]</f>
        <v>#DIV/0!</v>
      </c>
      <c r="Z150" s="28"/>
      <c r="AA150" s="28"/>
      <c r="AB150" s="28" t="e">
        <f>(1/Table4[[#This Row],[nm5]])*10^7</f>
        <v>#DIV/0!</v>
      </c>
      <c r="AC150" s="28"/>
      <c r="AD150" s="28" t="e">
        <f>(1/Table4[[#This Row],[nm8]])*10^7</f>
        <v>#DIV/0!</v>
      </c>
      <c r="AE150" s="28"/>
      <c r="AF150" s="28" t="e">
        <f>(1/Table4[[#This Row],[nm9]])*10^7</f>
        <v>#DIV/0!</v>
      </c>
      <c r="AG150" s="28"/>
      <c r="AH150" s="28"/>
      <c r="AI150" s="28" t="e">
        <f>(1/Table4[[#This Row],[nm4]])*10^7</f>
        <v>#DIV/0!</v>
      </c>
      <c r="AJ150" s="28"/>
      <c r="AK150" s="28" t="e">
        <f>(1/Table4[[#This Row],[nm14]])*10^7</f>
        <v>#DIV/0!</v>
      </c>
      <c r="AL150" s="28"/>
      <c r="AM150" s="28"/>
      <c r="AN150" s="28" t="e">
        <f>(1/Table4[[#This Row],[nm28]])*10^7</f>
        <v>#DIV/0!</v>
      </c>
      <c r="AO150" s="28"/>
      <c r="AP150" s="28" t="e">
        <f>(1/Table4[[#This Row],[nm10]])*10^7</f>
        <v>#DIV/0!</v>
      </c>
      <c r="AQ150" s="28"/>
      <c r="AR150" s="28" t="e">
        <f>(1/Table4[[#This Row],[nm11]])*10^7</f>
        <v>#DIV/0!</v>
      </c>
      <c r="AS150" s="28"/>
      <c r="AT150" s="28">
        <f>Table4[[#This Row],[Φ]]*100</f>
        <v>0</v>
      </c>
      <c r="AU150" s="28"/>
      <c r="AV150" s="28"/>
    </row>
    <row r="151" spans="3:48" x14ac:dyDescent="0.3">
      <c r="C151" s="27" t="e">
        <f>VLOOKUP(Table4[[#This Row],[Marker name]],BaseInfos_Table[#All],6,FALSE)</f>
        <v>#N/A</v>
      </c>
      <c r="G151" s="41" t="e">
        <f>(1*10^7)/Table4[[#This Row],[cm-1]]</f>
        <v>#DIV/0!</v>
      </c>
      <c r="I151" s="41" t="e">
        <f>(1*10^7)/Table4[[#This Row],[cm-2]]</f>
        <v>#DIV/0!</v>
      </c>
      <c r="K151" s="41" t="e">
        <f>(1*10^7)/Table4[[#This Row],[cm-3]]</f>
        <v>#DIV/0!</v>
      </c>
      <c r="R151" s="41" t="e">
        <f>(1*10^7)/Table4[[#This Row],[nm2]]</f>
        <v>#DIV/0!</v>
      </c>
      <c r="T151" s="41" t="e">
        <f>(1*10^7)/Table4[[#This Row],[nm12]]</f>
        <v>#DIV/0!</v>
      </c>
      <c r="Z151" s="28"/>
      <c r="AA151" s="28"/>
      <c r="AB151" s="28" t="e">
        <f>(1/Table4[[#This Row],[nm5]])*10^7</f>
        <v>#DIV/0!</v>
      </c>
      <c r="AC151" s="28"/>
      <c r="AD151" s="28" t="e">
        <f>(1/Table4[[#This Row],[nm8]])*10^7</f>
        <v>#DIV/0!</v>
      </c>
      <c r="AE151" s="28"/>
      <c r="AF151" s="28" t="e">
        <f>(1/Table4[[#This Row],[nm9]])*10^7</f>
        <v>#DIV/0!</v>
      </c>
      <c r="AG151" s="28"/>
      <c r="AH151" s="28"/>
      <c r="AI151" s="28" t="e">
        <f>(1/Table4[[#This Row],[nm4]])*10^7</f>
        <v>#DIV/0!</v>
      </c>
      <c r="AJ151" s="28"/>
      <c r="AK151" s="28" t="e">
        <f>(1/Table4[[#This Row],[nm14]])*10^7</f>
        <v>#DIV/0!</v>
      </c>
      <c r="AL151" s="28"/>
      <c r="AM151" s="28"/>
      <c r="AN151" s="28" t="e">
        <f>(1/Table4[[#This Row],[nm28]])*10^7</f>
        <v>#DIV/0!</v>
      </c>
      <c r="AO151" s="28"/>
      <c r="AP151" s="28" t="e">
        <f>(1/Table4[[#This Row],[nm10]])*10^7</f>
        <v>#DIV/0!</v>
      </c>
      <c r="AQ151" s="28"/>
      <c r="AR151" s="28" t="e">
        <f>(1/Table4[[#This Row],[nm11]])*10^7</f>
        <v>#DIV/0!</v>
      </c>
      <c r="AS151" s="28"/>
      <c r="AT151" s="28">
        <f>Table4[[#This Row],[Φ]]*100</f>
        <v>0</v>
      </c>
      <c r="AU151" s="28"/>
      <c r="AV151" s="28"/>
    </row>
    <row r="152" spans="3:48" x14ac:dyDescent="0.3">
      <c r="C152" s="27" t="e">
        <f>VLOOKUP(Table4[[#This Row],[Marker name]],BaseInfos_Table[#All],6,FALSE)</f>
        <v>#N/A</v>
      </c>
      <c r="G152" s="41" t="e">
        <f>(1*10^7)/Table4[[#This Row],[cm-1]]</f>
        <v>#DIV/0!</v>
      </c>
      <c r="I152" s="41" t="e">
        <f>(1*10^7)/Table4[[#This Row],[cm-2]]</f>
        <v>#DIV/0!</v>
      </c>
      <c r="K152" s="41" t="e">
        <f>(1*10^7)/Table4[[#This Row],[cm-3]]</f>
        <v>#DIV/0!</v>
      </c>
      <c r="R152" s="41" t="e">
        <f>(1*10^7)/Table4[[#This Row],[nm2]]</f>
        <v>#DIV/0!</v>
      </c>
      <c r="T152" s="41" t="e">
        <f>(1*10^7)/Table4[[#This Row],[nm12]]</f>
        <v>#DIV/0!</v>
      </c>
      <c r="Z152" s="28"/>
      <c r="AA152" s="28"/>
      <c r="AB152" s="28" t="e">
        <f>(1/Table4[[#This Row],[nm5]])*10^7</f>
        <v>#DIV/0!</v>
      </c>
      <c r="AC152" s="28"/>
      <c r="AD152" s="28" t="e">
        <f>(1/Table4[[#This Row],[nm8]])*10^7</f>
        <v>#DIV/0!</v>
      </c>
      <c r="AE152" s="28"/>
      <c r="AF152" s="28" t="e">
        <f>(1/Table4[[#This Row],[nm9]])*10^7</f>
        <v>#DIV/0!</v>
      </c>
      <c r="AG152" s="28"/>
      <c r="AH152" s="28"/>
      <c r="AI152" s="28" t="e">
        <f>(1/Table4[[#This Row],[nm4]])*10^7</f>
        <v>#DIV/0!</v>
      </c>
      <c r="AJ152" s="28"/>
      <c r="AK152" s="28" t="e">
        <f>(1/Table4[[#This Row],[nm14]])*10^7</f>
        <v>#DIV/0!</v>
      </c>
      <c r="AL152" s="28"/>
      <c r="AM152" s="28"/>
      <c r="AN152" s="28" t="e">
        <f>(1/Table4[[#This Row],[nm28]])*10^7</f>
        <v>#DIV/0!</v>
      </c>
      <c r="AO152" s="28"/>
      <c r="AP152" s="28" t="e">
        <f>(1/Table4[[#This Row],[nm10]])*10^7</f>
        <v>#DIV/0!</v>
      </c>
      <c r="AQ152" s="28"/>
      <c r="AR152" s="28" t="e">
        <f>(1/Table4[[#This Row],[nm11]])*10^7</f>
        <v>#DIV/0!</v>
      </c>
      <c r="AS152" s="28"/>
      <c r="AT152" s="28">
        <f>Table4[[#This Row],[Φ]]*100</f>
        <v>0</v>
      </c>
      <c r="AU152" s="28"/>
      <c r="AV152" s="28"/>
    </row>
    <row r="153" spans="3:48" x14ac:dyDescent="0.3">
      <c r="C153" s="27" t="e">
        <f>VLOOKUP(Table4[[#This Row],[Marker name]],BaseInfos_Table[#All],6,FALSE)</f>
        <v>#N/A</v>
      </c>
      <c r="G153" s="41" t="e">
        <f>(1*10^7)/Table4[[#This Row],[cm-1]]</f>
        <v>#DIV/0!</v>
      </c>
      <c r="I153" s="41" t="e">
        <f>(1*10^7)/Table4[[#This Row],[cm-2]]</f>
        <v>#DIV/0!</v>
      </c>
      <c r="K153" s="41" t="e">
        <f>(1*10^7)/Table4[[#This Row],[cm-3]]</f>
        <v>#DIV/0!</v>
      </c>
      <c r="R153" s="41" t="e">
        <f>(1*10^7)/Table4[[#This Row],[nm2]]</f>
        <v>#DIV/0!</v>
      </c>
      <c r="T153" s="41" t="e">
        <f>(1*10^7)/Table4[[#This Row],[nm12]]</f>
        <v>#DIV/0!</v>
      </c>
      <c r="Z153" s="28"/>
      <c r="AA153" s="28"/>
      <c r="AB153" s="28" t="e">
        <f>(1/Table4[[#This Row],[nm5]])*10^7</f>
        <v>#DIV/0!</v>
      </c>
      <c r="AC153" s="28"/>
      <c r="AD153" s="28" t="e">
        <f>(1/Table4[[#This Row],[nm8]])*10^7</f>
        <v>#DIV/0!</v>
      </c>
      <c r="AE153" s="28"/>
      <c r="AF153" s="28" t="e">
        <f>(1/Table4[[#This Row],[nm9]])*10^7</f>
        <v>#DIV/0!</v>
      </c>
      <c r="AG153" s="28"/>
      <c r="AH153" s="28"/>
      <c r="AI153" s="28" t="e">
        <f>(1/Table4[[#This Row],[nm4]])*10^7</f>
        <v>#DIV/0!</v>
      </c>
      <c r="AJ153" s="28"/>
      <c r="AK153" s="28" t="e">
        <f>(1/Table4[[#This Row],[nm14]])*10^7</f>
        <v>#DIV/0!</v>
      </c>
      <c r="AL153" s="28"/>
      <c r="AM153" s="28"/>
      <c r="AN153" s="28" t="e">
        <f>(1/Table4[[#This Row],[nm28]])*10^7</f>
        <v>#DIV/0!</v>
      </c>
      <c r="AO153" s="28"/>
      <c r="AP153" s="28" t="e">
        <f>(1/Table4[[#This Row],[nm10]])*10^7</f>
        <v>#DIV/0!</v>
      </c>
      <c r="AQ153" s="28"/>
      <c r="AR153" s="28" t="e">
        <f>(1/Table4[[#This Row],[nm11]])*10^7</f>
        <v>#DIV/0!</v>
      </c>
      <c r="AS153" s="28"/>
      <c r="AT153" s="28">
        <f>Table4[[#This Row],[Φ]]*100</f>
        <v>0</v>
      </c>
      <c r="AU153" s="28"/>
      <c r="AV153" s="28"/>
    </row>
    <row r="154" spans="3:48" x14ac:dyDescent="0.3">
      <c r="C154" s="27" t="e">
        <f>VLOOKUP(Table4[[#This Row],[Marker name]],BaseInfos_Table[#All],6,FALSE)</f>
        <v>#N/A</v>
      </c>
      <c r="G154" s="41" t="e">
        <f>(1*10^7)/Table4[[#This Row],[cm-1]]</f>
        <v>#DIV/0!</v>
      </c>
      <c r="I154" s="41" t="e">
        <f>(1*10^7)/Table4[[#This Row],[cm-2]]</f>
        <v>#DIV/0!</v>
      </c>
      <c r="K154" s="41" t="e">
        <f>(1*10^7)/Table4[[#This Row],[cm-3]]</f>
        <v>#DIV/0!</v>
      </c>
      <c r="R154" s="41" t="e">
        <f>(1*10^7)/Table4[[#This Row],[nm2]]</f>
        <v>#DIV/0!</v>
      </c>
      <c r="T154" s="41" t="e">
        <f>(1*10^7)/Table4[[#This Row],[nm12]]</f>
        <v>#DIV/0!</v>
      </c>
      <c r="Z154" s="28"/>
      <c r="AA154" s="28"/>
      <c r="AB154" s="28" t="e">
        <f>(1/Table4[[#This Row],[nm5]])*10^7</f>
        <v>#DIV/0!</v>
      </c>
      <c r="AC154" s="28"/>
      <c r="AD154" s="28" t="e">
        <f>(1/Table4[[#This Row],[nm8]])*10^7</f>
        <v>#DIV/0!</v>
      </c>
      <c r="AE154" s="28"/>
      <c r="AF154" s="28" t="e">
        <f>(1/Table4[[#This Row],[nm9]])*10^7</f>
        <v>#DIV/0!</v>
      </c>
      <c r="AG154" s="28"/>
      <c r="AH154" s="28"/>
      <c r="AI154" s="28" t="e">
        <f>(1/Table4[[#This Row],[nm4]])*10^7</f>
        <v>#DIV/0!</v>
      </c>
      <c r="AJ154" s="28"/>
      <c r="AK154" s="28" t="e">
        <f>(1/Table4[[#This Row],[nm14]])*10^7</f>
        <v>#DIV/0!</v>
      </c>
      <c r="AL154" s="28"/>
      <c r="AM154" s="28"/>
      <c r="AN154" s="28" t="e">
        <f>(1/Table4[[#This Row],[nm28]])*10^7</f>
        <v>#DIV/0!</v>
      </c>
      <c r="AO154" s="28"/>
      <c r="AP154" s="28" t="e">
        <f>(1/Table4[[#This Row],[nm10]])*10^7</f>
        <v>#DIV/0!</v>
      </c>
      <c r="AQ154" s="28"/>
      <c r="AR154" s="28" t="e">
        <f>(1/Table4[[#This Row],[nm11]])*10^7</f>
        <v>#DIV/0!</v>
      </c>
      <c r="AS154" s="28"/>
      <c r="AT154" s="28">
        <f>Table4[[#This Row],[Φ]]*100</f>
        <v>0</v>
      </c>
      <c r="AU154" s="28"/>
      <c r="AV154" s="28"/>
    </row>
    <row r="155" spans="3:48" x14ac:dyDescent="0.3">
      <c r="C155" s="27" t="e">
        <f>VLOOKUP(Table4[[#This Row],[Marker name]],BaseInfos_Table[#All],6,FALSE)</f>
        <v>#N/A</v>
      </c>
      <c r="G155" s="41" t="e">
        <f>(1*10^7)/Table4[[#This Row],[cm-1]]</f>
        <v>#DIV/0!</v>
      </c>
      <c r="I155" s="41" t="e">
        <f>(1*10^7)/Table4[[#This Row],[cm-2]]</f>
        <v>#DIV/0!</v>
      </c>
      <c r="K155" s="41" t="e">
        <f>(1*10^7)/Table4[[#This Row],[cm-3]]</f>
        <v>#DIV/0!</v>
      </c>
      <c r="R155" s="41" t="e">
        <f>(1*10^7)/Table4[[#This Row],[nm2]]</f>
        <v>#DIV/0!</v>
      </c>
      <c r="T155" s="41" t="e">
        <f>(1*10^7)/Table4[[#This Row],[nm12]]</f>
        <v>#DIV/0!</v>
      </c>
      <c r="Z155" s="28"/>
      <c r="AA155" s="28"/>
      <c r="AB155" s="28" t="e">
        <f>(1/Table4[[#This Row],[nm5]])*10^7</f>
        <v>#DIV/0!</v>
      </c>
      <c r="AC155" s="28"/>
      <c r="AD155" s="28" t="e">
        <f>(1/Table4[[#This Row],[nm8]])*10^7</f>
        <v>#DIV/0!</v>
      </c>
      <c r="AE155" s="28"/>
      <c r="AF155" s="28" t="e">
        <f>(1/Table4[[#This Row],[nm9]])*10^7</f>
        <v>#DIV/0!</v>
      </c>
      <c r="AG155" s="28"/>
      <c r="AH155" s="28"/>
      <c r="AI155" s="28" t="e">
        <f>(1/Table4[[#This Row],[nm4]])*10^7</f>
        <v>#DIV/0!</v>
      </c>
      <c r="AJ155" s="28"/>
      <c r="AK155" s="28" t="e">
        <f>(1/Table4[[#This Row],[nm14]])*10^7</f>
        <v>#DIV/0!</v>
      </c>
      <c r="AL155" s="28"/>
      <c r="AM155" s="28"/>
      <c r="AN155" s="28" t="e">
        <f>(1/Table4[[#This Row],[nm28]])*10^7</f>
        <v>#DIV/0!</v>
      </c>
      <c r="AO155" s="28"/>
      <c r="AP155" s="28" t="e">
        <f>(1/Table4[[#This Row],[nm10]])*10^7</f>
        <v>#DIV/0!</v>
      </c>
      <c r="AQ155" s="28"/>
      <c r="AR155" s="28" t="e">
        <f>(1/Table4[[#This Row],[nm11]])*10^7</f>
        <v>#DIV/0!</v>
      </c>
      <c r="AS155" s="28"/>
      <c r="AT155" s="28">
        <f>Table4[[#This Row],[Φ]]*100</f>
        <v>0</v>
      </c>
      <c r="AU155" s="28"/>
      <c r="AV155" s="28"/>
    </row>
    <row r="156" spans="3:48" x14ac:dyDescent="0.3">
      <c r="C156" s="27" t="e">
        <f>VLOOKUP(Table4[[#This Row],[Marker name]],BaseInfos_Table[#All],6,FALSE)</f>
        <v>#N/A</v>
      </c>
      <c r="G156" s="41" t="e">
        <f>(1*10^7)/Table4[[#This Row],[cm-1]]</f>
        <v>#DIV/0!</v>
      </c>
      <c r="I156" s="41" t="e">
        <f>(1*10^7)/Table4[[#This Row],[cm-2]]</f>
        <v>#DIV/0!</v>
      </c>
      <c r="K156" s="41" t="e">
        <f>(1*10^7)/Table4[[#This Row],[cm-3]]</f>
        <v>#DIV/0!</v>
      </c>
      <c r="R156" s="41" t="e">
        <f>(1*10^7)/Table4[[#This Row],[nm2]]</f>
        <v>#DIV/0!</v>
      </c>
      <c r="T156" s="41" t="e">
        <f>(1*10^7)/Table4[[#This Row],[nm12]]</f>
        <v>#DIV/0!</v>
      </c>
      <c r="Z156" s="28"/>
      <c r="AA156" s="28"/>
      <c r="AB156" s="28" t="e">
        <f>(1/Table4[[#This Row],[nm5]])*10^7</f>
        <v>#DIV/0!</v>
      </c>
      <c r="AC156" s="28"/>
      <c r="AD156" s="28" t="e">
        <f>(1/Table4[[#This Row],[nm8]])*10^7</f>
        <v>#DIV/0!</v>
      </c>
      <c r="AE156" s="28"/>
      <c r="AF156" s="28" t="e">
        <f>(1/Table4[[#This Row],[nm9]])*10^7</f>
        <v>#DIV/0!</v>
      </c>
      <c r="AG156" s="28"/>
      <c r="AH156" s="28"/>
      <c r="AI156" s="28" t="e">
        <f>(1/Table4[[#This Row],[nm4]])*10^7</f>
        <v>#DIV/0!</v>
      </c>
      <c r="AJ156" s="28"/>
      <c r="AK156" s="28" t="e">
        <f>(1/Table4[[#This Row],[nm14]])*10^7</f>
        <v>#DIV/0!</v>
      </c>
      <c r="AL156" s="28"/>
      <c r="AM156" s="28"/>
      <c r="AN156" s="28" t="e">
        <f>(1/Table4[[#This Row],[nm28]])*10^7</f>
        <v>#DIV/0!</v>
      </c>
      <c r="AO156" s="28"/>
      <c r="AP156" s="28" t="e">
        <f>(1/Table4[[#This Row],[nm10]])*10^7</f>
        <v>#DIV/0!</v>
      </c>
      <c r="AQ156" s="28"/>
      <c r="AR156" s="28" t="e">
        <f>(1/Table4[[#This Row],[nm11]])*10^7</f>
        <v>#DIV/0!</v>
      </c>
      <c r="AS156" s="28"/>
      <c r="AT156" s="28">
        <f>Table4[[#This Row],[Φ]]*100</f>
        <v>0</v>
      </c>
      <c r="AU156" s="28"/>
      <c r="AV156" s="28"/>
    </row>
    <row r="157" spans="3:48" x14ac:dyDescent="0.3">
      <c r="C157" s="27" t="e">
        <f>VLOOKUP(Table4[[#This Row],[Marker name]],BaseInfos_Table[#All],6,FALSE)</f>
        <v>#N/A</v>
      </c>
      <c r="G157" s="41" t="e">
        <f>(1*10^7)/Table4[[#This Row],[cm-1]]</f>
        <v>#DIV/0!</v>
      </c>
      <c r="I157" s="41" t="e">
        <f>(1*10^7)/Table4[[#This Row],[cm-2]]</f>
        <v>#DIV/0!</v>
      </c>
      <c r="K157" s="41" t="e">
        <f>(1*10^7)/Table4[[#This Row],[cm-3]]</f>
        <v>#DIV/0!</v>
      </c>
      <c r="R157" s="41" t="e">
        <f>(1*10^7)/Table4[[#This Row],[nm2]]</f>
        <v>#DIV/0!</v>
      </c>
      <c r="T157" s="41" t="e">
        <f>(1*10^7)/Table4[[#This Row],[nm12]]</f>
        <v>#DIV/0!</v>
      </c>
      <c r="Z157" s="28"/>
      <c r="AA157" s="28"/>
      <c r="AB157" s="28" t="e">
        <f>(1/Table4[[#This Row],[nm5]])*10^7</f>
        <v>#DIV/0!</v>
      </c>
      <c r="AC157" s="28"/>
      <c r="AD157" s="28" t="e">
        <f>(1/Table4[[#This Row],[nm8]])*10^7</f>
        <v>#DIV/0!</v>
      </c>
      <c r="AE157" s="28"/>
      <c r="AF157" s="28" t="e">
        <f>(1/Table4[[#This Row],[nm9]])*10^7</f>
        <v>#DIV/0!</v>
      </c>
      <c r="AG157" s="28"/>
      <c r="AH157" s="28"/>
      <c r="AI157" s="28" t="e">
        <f>(1/Table4[[#This Row],[nm4]])*10^7</f>
        <v>#DIV/0!</v>
      </c>
      <c r="AJ157" s="28"/>
      <c r="AK157" s="28" t="e">
        <f>(1/Table4[[#This Row],[nm14]])*10^7</f>
        <v>#DIV/0!</v>
      </c>
      <c r="AL157" s="28"/>
      <c r="AM157" s="28"/>
      <c r="AN157" s="28" t="e">
        <f>(1/Table4[[#This Row],[nm28]])*10^7</f>
        <v>#DIV/0!</v>
      </c>
      <c r="AO157" s="28"/>
      <c r="AP157" s="28" t="e">
        <f>(1/Table4[[#This Row],[nm10]])*10^7</f>
        <v>#DIV/0!</v>
      </c>
      <c r="AQ157" s="28"/>
      <c r="AR157" s="28" t="e">
        <f>(1/Table4[[#This Row],[nm11]])*10^7</f>
        <v>#DIV/0!</v>
      </c>
      <c r="AS157" s="28"/>
      <c r="AT157" s="28">
        <f>Table4[[#This Row],[Φ]]*100</f>
        <v>0</v>
      </c>
      <c r="AU157" s="28"/>
      <c r="AV157" s="28"/>
    </row>
    <row r="158" spans="3:48" x14ac:dyDescent="0.3">
      <c r="C158" s="27" t="e">
        <f>VLOOKUP(Table4[[#This Row],[Marker name]],BaseInfos_Table[#All],6,FALSE)</f>
        <v>#N/A</v>
      </c>
      <c r="G158" s="41" t="e">
        <f>(1*10^7)/Table4[[#This Row],[cm-1]]</f>
        <v>#DIV/0!</v>
      </c>
      <c r="I158" s="41" t="e">
        <f>(1*10^7)/Table4[[#This Row],[cm-2]]</f>
        <v>#DIV/0!</v>
      </c>
      <c r="K158" s="41" t="e">
        <f>(1*10^7)/Table4[[#This Row],[cm-3]]</f>
        <v>#DIV/0!</v>
      </c>
      <c r="R158" s="41" t="e">
        <f>(1*10^7)/Table4[[#This Row],[nm2]]</f>
        <v>#DIV/0!</v>
      </c>
      <c r="T158" s="41" t="e">
        <f>(1*10^7)/Table4[[#This Row],[nm12]]</f>
        <v>#DIV/0!</v>
      </c>
      <c r="Z158" s="28"/>
      <c r="AA158" s="28"/>
      <c r="AB158" s="28" t="e">
        <f>(1/Table4[[#This Row],[nm5]])*10^7</f>
        <v>#DIV/0!</v>
      </c>
      <c r="AC158" s="28"/>
      <c r="AD158" s="28" t="e">
        <f>(1/Table4[[#This Row],[nm8]])*10^7</f>
        <v>#DIV/0!</v>
      </c>
      <c r="AE158" s="28"/>
      <c r="AF158" s="28" t="e">
        <f>(1/Table4[[#This Row],[nm9]])*10^7</f>
        <v>#DIV/0!</v>
      </c>
      <c r="AG158" s="28"/>
      <c r="AH158" s="28"/>
      <c r="AI158" s="28" t="e">
        <f>(1/Table4[[#This Row],[nm4]])*10^7</f>
        <v>#DIV/0!</v>
      </c>
      <c r="AJ158" s="28"/>
      <c r="AK158" s="28" t="e">
        <f>(1/Table4[[#This Row],[nm14]])*10^7</f>
        <v>#DIV/0!</v>
      </c>
      <c r="AL158" s="28"/>
      <c r="AM158" s="28"/>
      <c r="AN158" s="28" t="e">
        <f>(1/Table4[[#This Row],[nm28]])*10^7</f>
        <v>#DIV/0!</v>
      </c>
      <c r="AO158" s="28"/>
      <c r="AP158" s="28" t="e">
        <f>(1/Table4[[#This Row],[nm10]])*10^7</f>
        <v>#DIV/0!</v>
      </c>
      <c r="AQ158" s="28"/>
      <c r="AR158" s="28" t="e">
        <f>(1/Table4[[#This Row],[nm11]])*10^7</f>
        <v>#DIV/0!</v>
      </c>
      <c r="AS158" s="28"/>
      <c r="AT158" s="28">
        <f>Table4[[#This Row],[Φ]]*100</f>
        <v>0</v>
      </c>
      <c r="AU158" s="28"/>
      <c r="AV158" s="28"/>
    </row>
    <row r="159" spans="3:48" x14ac:dyDescent="0.3">
      <c r="C159" s="27" t="e">
        <f>VLOOKUP(Table4[[#This Row],[Marker name]],BaseInfos_Table[#All],6,FALSE)</f>
        <v>#N/A</v>
      </c>
      <c r="G159" s="41" t="e">
        <f>(1*10^7)/Table4[[#This Row],[cm-1]]</f>
        <v>#DIV/0!</v>
      </c>
      <c r="I159" s="41" t="e">
        <f>(1*10^7)/Table4[[#This Row],[cm-2]]</f>
        <v>#DIV/0!</v>
      </c>
      <c r="K159" s="41" t="e">
        <f>(1*10^7)/Table4[[#This Row],[cm-3]]</f>
        <v>#DIV/0!</v>
      </c>
      <c r="R159" s="41" t="e">
        <f>(1*10^7)/Table4[[#This Row],[nm2]]</f>
        <v>#DIV/0!</v>
      </c>
      <c r="T159" s="41" t="e">
        <f>(1*10^7)/Table4[[#This Row],[nm12]]</f>
        <v>#DIV/0!</v>
      </c>
      <c r="Z159" s="28"/>
      <c r="AA159" s="28"/>
      <c r="AB159" s="28" t="e">
        <f>(1/Table4[[#This Row],[nm5]])*10^7</f>
        <v>#DIV/0!</v>
      </c>
      <c r="AC159" s="28"/>
      <c r="AD159" s="28" t="e">
        <f>(1/Table4[[#This Row],[nm8]])*10^7</f>
        <v>#DIV/0!</v>
      </c>
      <c r="AE159" s="28"/>
      <c r="AF159" s="28" t="e">
        <f>(1/Table4[[#This Row],[nm9]])*10^7</f>
        <v>#DIV/0!</v>
      </c>
      <c r="AG159" s="28"/>
      <c r="AH159" s="28"/>
      <c r="AI159" s="28" t="e">
        <f>(1/Table4[[#This Row],[nm4]])*10^7</f>
        <v>#DIV/0!</v>
      </c>
      <c r="AJ159" s="28"/>
      <c r="AK159" s="28" t="e">
        <f>(1/Table4[[#This Row],[nm14]])*10^7</f>
        <v>#DIV/0!</v>
      </c>
      <c r="AL159" s="28"/>
      <c r="AM159" s="28"/>
      <c r="AN159" s="28" t="e">
        <f>(1/Table4[[#This Row],[nm28]])*10^7</f>
        <v>#DIV/0!</v>
      </c>
      <c r="AO159" s="28"/>
      <c r="AP159" s="28" t="e">
        <f>(1/Table4[[#This Row],[nm10]])*10^7</f>
        <v>#DIV/0!</v>
      </c>
      <c r="AQ159" s="28"/>
      <c r="AR159" s="28" t="e">
        <f>(1/Table4[[#This Row],[nm11]])*10^7</f>
        <v>#DIV/0!</v>
      </c>
      <c r="AS159" s="28"/>
      <c r="AT159" s="28">
        <f>Table4[[#This Row],[Φ]]*100</f>
        <v>0</v>
      </c>
      <c r="AU159" s="28"/>
      <c r="AV159" s="28"/>
    </row>
    <row r="160" spans="3:48" x14ac:dyDescent="0.3">
      <c r="C160" s="27" t="e">
        <f>VLOOKUP(Table4[[#This Row],[Marker name]],BaseInfos_Table[#All],6,FALSE)</f>
        <v>#N/A</v>
      </c>
      <c r="G160" s="41" t="e">
        <f>(1*10^7)/Table4[[#This Row],[cm-1]]</f>
        <v>#DIV/0!</v>
      </c>
      <c r="I160" s="41" t="e">
        <f>(1*10^7)/Table4[[#This Row],[cm-2]]</f>
        <v>#DIV/0!</v>
      </c>
      <c r="K160" s="41" t="e">
        <f>(1*10^7)/Table4[[#This Row],[cm-3]]</f>
        <v>#DIV/0!</v>
      </c>
      <c r="R160" s="41" t="e">
        <f>(1*10^7)/Table4[[#This Row],[nm2]]</f>
        <v>#DIV/0!</v>
      </c>
      <c r="T160" s="41" t="e">
        <f>(1*10^7)/Table4[[#This Row],[nm12]]</f>
        <v>#DIV/0!</v>
      </c>
      <c r="Z160" s="28"/>
      <c r="AA160" s="28"/>
      <c r="AB160" s="28" t="e">
        <f>(1/Table4[[#This Row],[nm5]])*10^7</f>
        <v>#DIV/0!</v>
      </c>
      <c r="AC160" s="28"/>
      <c r="AD160" s="28" t="e">
        <f>(1/Table4[[#This Row],[nm8]])*10^7</f>
        <v>#DIV/0!</v>
      </c>
      <c r="AE160" s="28"/>
      <c r="AF160" s="28" t="e">
        <f>(1/Table4[[#This Row],[nm9]])*10^7</f>
        <v>#DIV/0!</v>
      </c>
      <c r="AG160" s="28"/>
      <c r="AH160" s="28"/>
      <c r="AI160" s="28" t="e">
        <f>(1/Table4[[#This Row],[nm4]])*10^7</f>
        <v>#DIV/0!</v>
      </c>
      <c r="AJ160" s="28"/>
      <c r="AK160" s="28" t="e">
        <f>(1/Table4[[#This Row],[nm14]])*10^7</f>
        <v>#DIV/0!</v>
      </c>
      <c r="AL160" s="28"/>
      <c r="AM160" s="28"/>
      <c r="AN160" s="28" t="e">
        <f>(1/Table4[[#This Row],[nm28]])*10^7</f>
        <v>#DIV/0!</v>
      </c>
      <c r="AO160" s="28"/>
      <c r="AP160" s="28" t="e">
        <f>(1/Table4[[#This Row],[nm10]])*10^7</f>
        <v>#DIV/0!</v>
      </c>
      <c r="AQ160" s="28"/>
      <c r="AR160" s="28" t="e">
        <f>(1/Table4[[#This Row],[nm11]])*10^7</f>
        <v>#DIV/0!</v>
      </c>
      <c r="AS160" s="28"/>
      <c r="AT160" s="28">
        <f>Table4[[#This Row],[Φ]]*100</f>
        <v>0</v>
      </c>
      <c r="AU160" s="28"/>
      <c r="AV160" s="28"/>
    </row>
    <row r="161" spans="3:48" x14ac:dyDescent="0.3">
      <c r="C161" s="27" t="e">
        <f>VLOOKUP(Table4[[#This Row],[Marker name]],BaseInfos_Table[#All],6,FALSE)</f>
        <v>#N/A</v>
      </c>
      <c r="G161" s="41" t="e">
        <f>(1*10^7)/Table4[[#This Row],[cm-1]]</f>
        <v>#DIV/0!</v>
      </c>
      <c r="I161" s="41" t="e">
        <f>(1*10^7)/Table4[[#This Row],[cm-2]]</f>
        <v>#DIV/0!</v>
      </c>
      <c r="K161" s="41" t="e">
        <f>(1*10^7)/Table4[[#This Row],[cm-3]]</f>
        <v>#DIV/0!</v>
      </c>
      <c r="R161" s="41" t="e">
        <f>(1*10^7)/Table4[[#This Row],[nm2]]</f>
        <v>#DIV/0!</v>
      </c>
      <c r="T161" s="41" t="e">
        <f>(1*10^7)/Table4[[#This Row],[nm12]]</f>
        <v>#DIV/0!</v>
      </c>
      <c r="Z161" s="28"/>
      <c r="AA161" s="28"/>
      <c r="AB161" s="28" t="e">
        <f>(1/Table4[[#This Row],[nm5]])*10^7</f>
        <v>#DIV/0!</v>
      </c>
      <c r="AC161" s="28"/>
      <c r="AD161" s="28" t="e">
        <f>(1/Table4[[#This Row],[nm8]])*10^7</f>
        <v>#DIV/0!</v>
      </c>
      <c r="AE161" s="28"/>
      <c r="AF161" s="28" t="e">
        <f>(1/Table4[[#This Row],[nm9]])*10^7</f>
        <v>#DIV/0!</v>
      </c>
      <c r="AG161" s="28"/>
      <c r="AH161" s="28"/>
      <c r="AI161" s="28" t="e">
        <f>(1/Table4[[#This Row],[nm4]])*10^7</f>
        <v>#DIV/0!</v>
      </c>
      <c r="AJ161" s="28"/>
      <c r="AK161" s="28" t="e">
        <f>(1/Table4[[#This Row],[nm14]])*10^7</f>
        <v>#DIV/0!</v>
      </c>
      <c r="AL161" s="28"/>
      <c r="AM161" s="28"/>
      <c r="AN161" s="28" t="e">
        <f>(1/Table4[[#This Row],[nm28]])*10^7</f>
        <v>#DIV/0!</v>
      </c>
      <c r="AO161" s="28"/>
      <c r="AP161" s="28" t="e">
        <f>(1/Table4[[#This Row],[nm10]])*10^7</f>
        <v>#DIV/0!</v>
      </c>
      <c r="AQ161" s="28"/>
      <c r="AR161" s="28" t="e">
        <f>(1/Table4[[#This Row],[nm11]])*10^7</f>
        <v>#DIV/0!</v>
      </c>
      <c r="AS161" s="28"/>
      <c r="AT161" s="28">
        <f>Table4[[#This Row],[Φ]]*100</f>
        <v>0</v>
      </c>
      <c r="AU161" s="28"/>
      <c r="AV161" s="28"/>
    </row>
    <row r="162" spans="3:48" x14ac:dyDescent="0.3">
      <c r="C162" s="27" t="e">
        <f>VLOOKUP(Table4[[#This Row],[Marker name]],BaseInfos_Table[#All],6,FALSE)</f>
        <v>#N/A</v>
      </c>
      <c r="G162" s="41" t="e">
        <f>(1*10^7)/Table4[[#This Row],[cm-1]]</f>
        <v>#DIV/0!</v>
      </c>
      <c r="I162" s="41" t="e">
        <f>(1*10^7)/Table4[[#This Row],[cm-2]]</f>
        <v>#DIV/0!</v>
      </c>
      <c r="K162" s="41" t="e">
        <f>(1*10^7)/Table4[[#This Row],[cm-3]]</f>
        <v>#DIV/0!</v>
      </c>
      <c r="R162" s="41" t="e">
        <f>(1*10^7)/Table4[[#This Row],[nm2]]</f>
        <v>#DIV/0!</v>
      </c>
      <c r="T162" s="41" t="e">
        <f>(1*10^7)/Table4[[#This Row],[nm12]]</f>
        <v>#DIV/0!</v>
      </c>
      <c r="Z162" s="28"/>
      <c r="AA162" s="28"/>
      <c r="AB162" s="28" t="e">
        <f>(1/Table4[[#This Row],[nm5]])*10^7</f>
        <v>#DIV/0!</v>
      </c>
      <c r="AC162" s="28"/>
      <c r="AD162" s="28" t="e">
        <f>(1/Table4[[#This Row],[nm8]])*10^7</f>
        <v>#DIV/0!</v>
      </c>
      <c r="AE162" s="28"/>
      <c r="AF162" s="28" t="e">
        <f>(1/Table4[[#This Row],[nm9]])*10^7</f>
        <v>#DIV/0!</v>
      </c>
      <c r="AG162" s="28"/>
      <c r="AH162" s="28"/>
      <c r="AI162" s="28" t="e">
        <f>(1/Table4[[#This Row],[nm4]])*10^7</f>
        <v>#DIV/0!</v>
      </c>
      <c r="AJ162" s="28"/>
      <c r="AK162" s="28" t="e">
        <f>(1/Table4[[#This Row],[nm14]])*10^7</f>
        <v>#DIV/0!</v>
      </c>
      <c r="AL162" s="28"/>
      <c r="AM162" s="28"/>
      <c r="AN162" s="28" t="e">
        <f>(1/Table4[[#This Row],[nm28]])*10^7</f>
        <v>#DIV/0!</v>
      </c>
      <c r="AO162" s="28"/>
      <c r="AP162" s="28" t="e">
        <f>(1/Table4[[#This Row],[nm10]])*10^7</f>
        <v>#DIV/0!</v>
      </c>
      <c r="AQ162" s="28"/>
      <c r="AR162" s="28" t="e">
        <f>(1/Table4[[#This Row],[nm11]])*10^7</f>
        <v>#DIV/0!</v>
      </c>
      <c r="AS162" s="28"/>
      <c r="AT162" s="28">
        <f>Table4[[#This Row],[Φ]]*100</f>
        <v>0</v>
      </c>
      <c r="AU162" s="28"/>
      <c r="AV162" s="28"/>
    </row>
    <row r="163" spans="3:48" x14ac:dyDescent="0.3">
      <c r="C163" s="27" t="e">
        <f>VLOOKUP(Table4[[#This Row],[Marker name]],BaseInfos_Table[#All],6,FALSE)</f>
        <v>#N/A</v>
      </c>
      <c r="G163" s="41" t="e">
        <f>(1*10^7)/Table4[[#This Row],[cm-1]]</f>
        <v>#DIV/0!</v>
      </c>
      <c r="I163" s="41" t="e">
        <f>(1*10^7)/Table4[[#This Row],[cm-2]]</f>
        <v>#DIV/0!</v>
      </c>
      <c r="K163" s="41" t="e">
        <f>(1*10^7)/Table4[[#This Row],[cm-3]]</f>
        <v>#DIV/0!</v>
      </c>
      <c r="R163" s="41" t="e">
        <f>(1*10^7)/Table4[[#This Row],[nm2]]</f>
        <v>#DIV/0!</v>
      </c>
      <c r="T163" s="41" t="e">
        <f>(1*10^7)/Table4[[#This Row],[nm12]]</f>
        <v>#DIV/0!</v>
      </c>
      <c r="Z163" s="28"/>
      <c r="AA163" s="28"/>
      <c r="AB163" s="28" t="e">
        <f>(1/Table4[[#This Row],[nm5]])*10^7</f>
        <v>#DIV/0!</v>
      </c>
      <c r="AC163" s="28"/>
      <c r="AD163" s="28" t="e">
        <f>(1/Table4[[#This Row],[nm8]])*10^7</f>
        <v>#DIV/0!</v>
      </c>
      <c r="AE163" s="28"/>
      <c r="AF163" s="28" t="e">
        <f>(1/Table4[[#This Row],[nm9]])*10^7</f>
        <v>#DIV/0!</v>
      </c>
      <c r="AG163" s="28"/>
      <c r="AH163" s="28"/>
      <c r="AI163" s="28" t="e">
        <f>(1/Table4[[#This Row],[nm4]])*10^7</f>
        <v>#DIV/0!</v>
      </c>
      <c r="AJ163" s="28"/>
      <c r="AK163" s="28" t="e">
        <f>(1/Table4[[#This Row],[nm14]])*10^7</f>
        <v>#DIV/0!</v>
      </c>
      <c r="AL163" s="28"/>
      <c r="AM163" s="28"/>
      <c r="AN163" s="28" t="e">
        <f>(1/Table4[[#This Row],[nm28]])*10^7</f>
        <v>#DIV/0!</v>
      </c>
      <c r="AO163" s="28"/>
      <c r="AP163" s="28" t="e">
        <f>(1/Table4[[#This Row],[nm10]])*10^7</f>
        <v>#DIV/0!</v>
      </c>
      <c r="AQ163" s="28"/>
      <c r="AR163" s="28" t="e">
        <f>(1/Table4[[#This Row],[nm11]])*10^7</f>
        <v>#DIV/0!</v>
      </c>
      <c r="AS163" s="28"/>
      <c r="AT163" s="28">
        <f>Table4[[#This Row],[Φ]]*100</f>
        <v>0</v>
      </c>
      <c r="AU163" s="28"/>
      <c r="AV163" s="28"/>
    </row>
    <row r="164" spans="3:48" x14ac:dyDescent="0.3">
      <c r="C164" s="27" t="e">
        <f>VLOOKUP(Table4[[#This Row],[Marker name]],BaseInfos_Table[#All],6,FALSE)</f>
        <v>#N/A</v>
      </c>
      <c r="G164" s="41" t="e">
        <f>(1*10^7)/Table4[[#This Row],[cm-1]]</f>
        <v>#DIV/0!</v>
      </c>
      <c r="I164" s="41" t="e">
        <f>(1*10^7)/Table4[[#This Row],[cm-2]]</f>
        <v>#DIV/0!</v>
      </c>
      <c r="K164" s="41" t="e">
        <f>(1*10^7)/Table4[[#This Row],[cm-3]]</f>
        <v>#DIV/0!</v>
      </c>
      <c r="R164" s="41" t="e">
        <f>(1*10^7)/Table4[[#This Row],[nm2]]</f>
        <v>#DIV/0!</v>
      </c>
      <c r="T164" s="41" t="e">
        <f>(1*10^7)/Table4[[#This Row],[nm12]]</f>
        <v>#DIV/0!</v>
      </c>
      <c r="Z164" s="28"/>
      <c r="AA164" s="28"/>
      <c r="AB164" s="28" t="e">
        <f>(1/Table4[[#This Row],[nm5]])*10^7</f>
        <v>#DIV/0!</v>
      </c>
      <c r="AC164" s="28"/>
      <c r="AD164" s="28" t="e">
        <f>(1/Table4[[#This Row],[nm8]])*10^7</f>
        <v>#DIV/0!</v>
      </c>
      <c r="AE164" s="28"/>
      <c r="AF164" s="28" t="e">
        <f>(1/Table4[[#This Row],[nm9]])*10^7</f>
        <v>#DIV/0!</v>
      </c>
      <c r="AG164" s="28"/>
      <c r="AH164" s="28"/>
      <c r="AI164" s="28" t="e">
        <f>(1/Table4[[#This Row],[nm4]])*10^7</f>
        <v>#DIV/0!</v>
      </c>
      <c r="AJ164" s="28"/>
      <c r="AK164" s="28" t="e">
        <f>(1/Table4[[#This Row],[nm14]])*10^7</f>
        <v>#DIV/0!</v>
      </c>
      <c r="AL164" s="28"/>
      <c r="AM164" s="28"/>
      <c r="AN164" s="28" t="e">
        <f>(1/Table4[[#This Row],[nm28]])*10^7</f>
        <v>#DIV/0!</v>
      </c>
      <c r="AO164" s="28"/>
      <c r="AP164" s="28" t="e">
        <f>(1/Table4[[#This Row],[nm10]])*10^7</f>
        <v>#DIV/0!</v>
      </c>
      <c r="AQ164" s="28"/>
      <c r="AR164" s="28" t="e">
        <f>(1/Table4[[#This Row],[nm11]])*10^7</f>
        <v>#DIV/0!</v>
      </c>
      <c r="AS164" s="28"/>
      <c r="AT164" s="28">
        <f>Table4[[#This Row],[Φ]]*100</f>
        <v>0</v>
      </c>
      <c r="AU164" s="28"/>
      <c r="AV164" s="28"/>
    </row>
    <row r="165" spans="3:48" x14ac:dyDescent="0.3">
      <c r="C165" s="27" t="e">
        <f>VLOOKUP(Table4[[#This Row],[Marker name]],BaseInfos_Table[#All],6,FALSE)</f>
        <v>#N/A</v>
      </c>
      <c r="G165" s="41" t="e">
        <f>(1*10^7)/Table4[[#This Row],[cm-1]]</f>
        <v>#DIV/0!</v>
      </c>
      <c r="I165" s="41" t="e">
        <f>(1*10^7)/Table4[[#This Row],[cm-2]]</f>
        <v>#DIV/0!</v>
      </c>
      <c r="K165" s="41" t="e">
        <f>(1*10^7)/Table4[[#This Row],[cm-3]]</f>
        <v>#DIV/0!</v>
      </c>
      <c r="R165" s="41" t="e">
        <f>(1*10^7)/Table4[[#This Row],[nm2]]</f>
        <v>#DIV/0!</v>
      </c>
      <c r="T165" s="41" t="e">
        <f>(1*10^7)/Table4[[#This Row],[nm12]]</f>
        <v>#DIV/0!</v>
      </c>
      <c r="Z165" s="28"/>
      <c r="AA165" s="28"/>
      <c r="AB165" s="28" t="e">
        <f>(1/Table4[[#This Row],[nm5]])*10^7</f>
        <v>#DIV/0!</v>
      </c>
      <c r="AC165" s="28"/>
      <c r="AD165" s="28" t="e">
        <f>(1/Table4[[#This Row],[nm8]])*10^7</f>
        <v>#DIV/0!</v>
      </c>
      <c r="AE165" s="28"/>
      <c r="AF165" s="28" t="e">
        <f>(1/Table4[[#This Row],[nm9]])*10^7</f>
        <v>#DIV/0!</v>
      </c>
      <c r="AG165" s="28"/>
      <c r="AH165" s="28"/>
      <c r="AI165" s="28" t="e">
        <f>(1/Table4[[#This Row],[nm4]])*10^7</f>
        <v>#DIV/0!</v>
      </c>
      <c r="AJ165" s="28"/>
      <c r="AK165" s="28" t="e">
        <f>(1/Table4[[#This Row],[nm14]])*10^7</f>
        <v>#DIV/0!</v>
      </c>
      <c r="AL165" s="28"/>
      <c r="AM165" s="28"/>
      <c r="AN165" s="28" t="e">
        <f>(1/Table4[[#This Row],[nm28]])*10^7</f>
        <v>#DIV/0!</v>
      </c>
      <c r="AO165" s="28"/>
      <c r="AP165" s="28" t="e">
        <f>(1/Table4[[#This Row],[nm10]])*10^7</f>
        <v>#DIV/0!</v>
      </c>
      <c r="AQ165" s="28"/>
      <c r="AR165" s="28" t="e">
        <f>(1/Table4[[#This Row],[nm11]])*10^7</f>
        <v>#DIV/0!</v>
      </c>
      <c r="AS165" s="28"/>
      <c r="AT165" s="28">
        <f>Table4[[#This Row],[Φ]]*100</f>
        <v>0</v>
      </c>
      <c r="AU165" s="28"/>
      <c r="AV165" s="28"/>
    </row>
    <row r="166" spans="3:48" x14ac:dyDescent="0.3">
      <c r="C166" s="27" t="e">
        <f>VLOOKUP(Table4[[#This Row],[Marker name]],BaseInfos_Table[#All],6,FALSE)</f>
        <v>#N/A</v>
      </c>
      <c r="G166" s="41" t="e">
        <f>(1*10^7)/Table4[[#This Row],[cm-1]]</f>
        <v>#DIV/0!</v>
      </c>
      <c r="I166" s="41" t="e">
        <f>(1*10^7)/Table4[[#This Row],[cm-2]]</f>
        <v>#DIV/0!</v>
      </c>
      <c r="K166" s="41" t="e">
        <f>(1*10^7)/Table4[[#This Row],[cm-3]]</f>
        <v>#DIV/0!</v>
      </c>
      <c r="R166" s="41" t="e">
        <f>(1*10^7)/Table4[[#This Row],[nm2]]</f>
        <v>#DIV/0!</v>
      </c>
      <c r="T166" s="41" t="e">
        <f>(1*10^7)/Table4[[#This Row],[nm12]]</f>
        <v>#DIV/0!</v>
      </c>
      <c r="Z166" s="28"/>
      <c r="AA166" s="28"/>
      <c r="AB166" s="28" t="e">
        <f>(1/Table4[[#This Row],[nm5]])*10^7</f>
        <v>#DIV/0!</v>
      </c>
      <c r="AC166" s="28"/>
      <c r="AD166" s="28" t="e">
        <f>(1/Table4[[#This Row],[nm8]])*10^7</f>
        <v>#DIV/0!</v>
      </c>
      <c r="AE166" s="28"/>
      <c r="AF166" s="28" t="e">
        <f>(1/Table4[[#This Row],[nm9]])*10^7</f>
        <v>#DIV/0!</v>
      </c>
      <c r="AG166" s="28"/>
      <c r="AH166" s="28"/>
      <c r="AI166" s="28" t="e">
        <f>(1/Table4[[#This Row],[nm4]])*10^7</f>
        <v>#DIV/0!</v>
      </c>
      <c r="AJ166" s="28"/>
      <c r="AK166" s="28" t="e">
        <f>(1/Table4[[#This Row],[nm14]])*10^7</f>
        <v>#DIV/0!</v>
      </c>
      <c r="AL166" s="28"/>
      <c r="AM166" s="28"/>
      <c r="AN166" s="28" t="e">
        <f>(1/Table4[[#This Row],[nm28]])*10^7</f>
        <v>#DIV/0!</v>
      </c>
      <c r="AO166" s="28"/>
      <c r="AP166" s="28" t="e">
        <f>(1/Table4[[#This Row],[nm10]])*10^7</f>
        <v>#DIV/0!</v>
      </c>
      <c r="AQ166" s="28"/>
      <c r="AR166" s="28" t="e">
        <f>(1/Table4[[#This Row],[nm11]])*10^7</f>
        <v>#DIV/0!</v>
      </c>
      <c r="AS166" s="28"/>
      <c r="AT166" s="28">
        <f>Table4[[#This Row],[Φ]]*100</f>
        <v>0</v>
      </c>
      <c r="AU166" s="28"/>
      <c r="AV166" s="28"/>
    </row>
    <row r="167" spans="3:48" x14ac:dyDescent="0.3">
      <c r="C167" s="27" t="e">
        <f>VLOOKUP(Table4[[#This Row],[Marker name]],BaseInfos_Table[#All],6,FALSE)</f>
        <v>#N/A</v>
      </c>
      <c r="G167" s="41" t="e">
        <f>(1*10^7)/Table4[[#This Row],[cm-1]]</f>
        <v>#DIV/0!</v>
      </c>
      <c r="I167" s="41" t="e">
        <f>(1*10^7)/Table4[[#This Row],[cm-2]]</f>
        <v>#DIV/0!</v>
      </c>
      <c r="K167" s="41" t="e">
        <f>(1*10^7)/Table4[[#This Row],[cm-3]]</f>
        <v>#DIV/0!</v>
      </c>
      <c r="R167" s="41" t="e">
        <f>(1*10^7)/Table4[[#This Row],[nm2]]</f>
        <v>#DIV/0!</v>
      </c>
      <c r="T167" s="41" t="e">
        <f>(1*10^7)/Table4[[#This Row],[nm12]]</f>
        <v>#DIV/0!</v>
      </c>
      <c r="Z167" s="28"/>
      <c r="AA167" s="28"/>
      <c r="AB167" s="28" t="e">
        <f>(1/Table4[[#This Row],[nm5]])*10^7</f>
        <v>#DIV/0!</v>
      </c>
      <c r="AC167" s="28"/>
      <c r="AD167" s="28" t="e">
        <f>(1/Table4[[#This Row],[nm8]])*10^7</f>
        <v>#DIV/0!</v>
      </c>
      <c r="AE167" s="28"/>
      <c r="AF167" s="28" t="e">
        <f>(1/Table4[[#This Row],[nm9]])*10^7</f>
        <v>#DIV/0!</v>
      </c>
      <c r="AG167" s="28"/>
      <c r="AH167" s="28"/>
      <c r="AI167" s="28" t="e">
        <f>(1/Table4[[#This Row],[nm4]])*10^7</f>
        <v>#DIV/0!</v>
      </c>
      <c r="AJ167" s="28"/>
      <c r="AK167" s="28" t="e">
        <f>(1/Table4[[#This Row],[nm14]])*10^7</f>
        <v>#DIV/0!</v>
      </c>
      <c r="AL167" s="28"/>
      <c r="AM167" s="28"/>
      <c r="AN167" s="28" t="e">
        <f>(1/Table4[[#This Row],[nm28]])*10^7</f>
        <v>#DIV/0!</v>
      </c>
      <c r="AO167" s="28"/>
      <c r="AP167" s="28" t="e">
        <f>(1/Table4[[#This Row],[nm10]])*10^7</f>
        <v>#DIV/0!</v>
      </c>
      <c r="AQ167" s="28"/>
      <c r="AR167" s="28" t="e">
        <f>(1/Table4[[#This Row],[nm11]])*10^7</f>
        <v>#DIV/0!</v>
      </c>
      <c r="AS167" s="28"/>
      <c r="AT167" s="28">
        <f>Table4[[#This Row],[Φ]]*100</f>
        <v>0</v>
      </c>
      <c r="AU167" s="28"/>
      <c r="AV167" s="28"/>
    </row>
    <row r="168" spans="3:48" x14ac:dyDescent="0.3">
      <c r="C168" s="27" t="e">
        <f>VLOOKUP(Table4[[#This Row],[Marker name]],BaseInfos_Table[#All],6,FALSE)</f>
        <v>#N/A</v>
      </c>
      <c r="G168" s="41" t="e">
        <f>(1*10^7)/Table4[[#This Row],[cm-1]]</f>
        <v>#DIV/0!</v>
      </c>
      <c r="I168" s="41" t="e">
        <f>(1*10^7)/Table4[[#This Row],[cm-2]]</f>
        <v>#DIV/0!</v>
      </c>
      <c r="K168" s="41" t="e">
        <f>(1*10^7)/Table4[[#This Row],[cm-3]]</f>
        <v>#DIV/0!</v>
      </c>
      <c r="R168" s="41" t="e">
        <f>(1*10^7)/Table4[[#This Row],[nm2]]</f>
        <v>#DIV/0!</v>
      </c>
      <c r="T168" s="41" t="e">
        <f>(1*10^7)/Table4[[#This Row],[nm12]]</f>
        <v>#DIV/0!</v>
      </c>
      <c r="Z168" s="28"/>
      <c r="AA168" s="28"/>
      <c r="AB168" s="28" t="e">
        <f>(1/Table4[[#This Row],[nm5]])*10^7</f>
        <v>#DIV/0!</v>
      </c>
      <c r="AC168" s="28"/>
      <c r="AD168" s="28" t="e">
        <f>(1/Table4[[#This Row],[nm8]])*10^7</f>
        <v>#DIV/0!</v>
      </c>
      <c r="AE168" s="28"/>
      <c r="AF168" s="28" t="e">
        <f>(1/Table4[[#This Row],[nm9]])*10^7</f>
        <v>#DIV/0!</v>
      </c>
      <c r="AG168" s="28"/>
      <c r="AH168" s="28"/>
      <c r="AI168" s="28" t="e">
        <f>(1/Table4[[#This Row],[nm4]])*10^7</f>
        <v>#DIV/0!</v>
      </c>
      <c r="AJ168" s="28"/>
      <c r="AK168" s="28" t="e">
        <f>(1/Table4[[#This Row],[nm14]])*10^7</f>
        <v>#DIV/0!</v>
      </c>
      <c r="AL168" s="28"/>
      <c r="AM168" s="28"/>
      <c r="AN168" s="28" t="e">
        <f>(1/Table4[[#This Row],[nm28]])*10^7</f>
        <v>#DIV/0!</v>
      </c>
      <c r="AO168" s="28"/>
      <c r="AP168" s="28" t="e">
        <f>(1/Table4[[#This Row],[nm10]])*10^7</f>
        <v>#DIV/0!</v>
      </c>
      <c r="AQ168" s="28"/>
      <c r="AR168" s="28" t="e">
        <f>(1/Table4[[#This Row],[nm11]])*10^7</f>
        <v>#DIV/0!</v>
      </c>
      <c r="AS168" s="28"/>
      <c r="AT168" s="28">
        <f>Table4[[#This Row],[Φ]]*100</f>
        <v>0</v>
      </c>
      <c r="AU168" s="28"/>
      <c r="AV168" s="28"/>
    </row>
    <row r="169" spans="3:48" x14ac:dyDescent="0.3">
      <c r="C169" s="27" t="e">
        <f>VLOOKUP(Table4[[#This Row],[Marker name]],BaseInfos_Table[#All],6,FALSE)</f>
        <v>#N/A</v>
      </c>
      <c r="G169" s="41" t="e">
        <f>(1*10^7)/Table4[[#This Row],[cm-1]]</f>
        <v>#DIV/0!</v>
      </c>
      <c r="I169" s="41" t="e">
        <f>(1*10^7)/Table4[[#This Row],[cm-2]]</f>
        <v>#DIV/0!</v>
      </c>
      <c r="K169" s="41" t="e">
        <f>(1*10^7)/Table4[[#This Row],[cm-3]]</f>
        <v>#DIV/0!</v>
      </c>
      <c r="R169" s="41" t="e">
        <f>(1*10^7)/Table4[[#This Row],[nm2]]</f>
        <v>#DIV/0!</v>
      </c>
      <c r="T169" s="41" t="e">
        <f>(1*10^7)/Table4[[#This Row],[nm12]]</f>
        <v>#DIV/0!</v>
      </c>
      <c r="Z169" s="28"/>
      <c r="AA169" s="28"/>
      <c r="AB169" s="28" t="e">
        <f>(1/Table4[[#This Row],[nm5]])*10^7</f>
        <v>#DIV/0!</v>
      </c>
      <c r="AC169" s="28"/>
      <c r="AD169" s="28" t="e">
        <f>(1/Table4[[#This Row],[nm8]])*10^7</f>
        <v>#DIV/0!</v>
      </c>
      <c r="AE169" s="28"/>
      <c r="AF169" s="28" t="e">
        <f>(1/Table4[[#This Row],[nm9]])*10^7</f>
        <v>#DIV/0!</v>
      </c>
      <c r="AG169" s="28"/>
      <c r="AH169" s="28"/>
      <c r="AI169" s="28" t="e">
        <f>(1/Table4[[#This Row],[nm4]])*10^7</f>
        <v>#DIV/0!</v>
      </c>
      <c r="AJ169" s="28"/>
      <c r="AK169" s="28" t="e">
        <f>(1/Table4[[#This Row],[nm14]])*10^7</f>
        <v>#DIV/0!</v>
      </c>
      <c r="AL169" s="28"/>
      <c r="AM169" s="28"/>
      <c r="AN169" s="28" t="e">
        <f>(1/Table4[[#This Row],[nm28]])*10^7</f>
        <v>#DIV/0!</v>
      </c>
      <c r="AO169" s="28"/>
      <c r="AP169" s="28" t="e">
        <f>(1/Table4[[#This Row],[nm10]])*10^7</f>
        <v>#DIV/0!</v>
      </c>
      <c r="AQ169" s="28"/>
      <c r="AR169" s="28" t="e">
        <f>(1/Table4[[#This Row],[nm11]])*10^7</f>
        <v>#DIV/0!</v>
      </c>
      <c r="AS169" s="28"/>
      <c r="AT169" s="28">
        <f>Table4[[#This Row],[Φ]]*100</f>
        <v>0</v>
      </c>
      <c r="AU169" s="28"/>
      <c r="AV169" s="28"/>
    </row>
    <row r="170" spans="3:48" x14ac:dyDescent="0.3">
      <c r="C170" s="27" t="e">
        <f>VLOOKUP(Table4[[#This Row],[Marker name]],BaseInfos_Table[#All],6,FALSE)</f>
        <v>#N/A</v>
      </c>
      <c r="G170" s="41" t="e">
        <f>(1*10^7)/Table4[[#This Row],[cm-1]]</f>
        <v>#DIV/0!</v>
      </c>
      <c r="I170" s="41" t="e">
        <f>(1*10^7)/Table4[[#This Row],[cm-2]]</f>
        <v>#DIV/0!</v>
      </c>
      <c r="K170" s="41" t="e">
        <f>(1*10^7)/Table4[[#This Row],[cm-3]]</f>
        <v>#DIV/0!</v>
      </c>
      <c r="R170" s="41" t="e">
        <f>(1*10^7)/Table4[[#This Row],[nm2]]</f>
        <v>#DIV/0!</v>
      </c>
      <c r="T170" s="41" t="e">
        <f>(1*10^7)/Table4[[#This Row],[nm12]]</f>
        <v>#DIV/0!</v>
      </c>
      <c r="Z170" s="28"/>
      <c r="AA170" s="28"/>
      <c r="AB170" s="28" t="e">
        <f>(1/Table4[[#This Row],[nm5]])*10^7</f>
        <v>#DIV/0!</v>
      </c>
      <c r="AC170" s="28"/>
      <c r="AD170" s="28" t="e">
        <f>(1/Table4[[#This Row],[nm8]])*10^7</f>
        <v>#DIV/0!</v>
      </c>
      <c r="AE170" s="28"/>
      <c r="AF170" s="28" t="e">
        <f>(1/Table4[[#This Row],[nm9]])*10^7</f>
        <v>#DIV/0!</v>
      </c>
      <c r="AG170" s="28"/>
      <c r="AH170" s="28"/>
      <c r="AI170" s="28" t="e">
        <f>(1/Table4[[#This Row],[nm4]])*10^7</f>
        <v>#DIV/0!</v>
      </c>
      <c r="AJ170" s="28"/>
      <c r="AK170" s="28" t="e">
        <f>(1/Table4[[#This Row],[nm14]])*10^7</f>
        <v>#DIV/0!</v>
      </c>
      <c r="AL170" s="28"/>
      <c r="AM170" s="28"/>
      <c r="AN170" s="28" t="e">
        <f>(1/Table4[[#This Row],[nm28]])*10^7</f>
        <v>#DIV/0!</v>
      </c>
      <c r="AO170" s="28"/>
      <c r="AP170" s="28" t="e">
        <f>(1/Table4[[#This Row],[nm10]])*10^7</f>
        <v>#DIV/0!</v>
      </c>
      <c r="AQ170" s="28"/>
      <c r="AR170" s="28" t="e">
        <f>(1/Table4[[#This Row],[nm11]])*10^7</f>
        <v>#DIV/0!</v>
      </c>
      <c r="AS170" s="28"/>
      <c r="AT170" s="28">
        <f>Table4[[#This Row],[Φ]]*100</f>
        <v>0</v>
      </c>
      <c r="AU170" s="28"/>
      <c r="AV170" s="28"/>
    </row>
    <row r="171" spans="3:48" x14ac:dyDescent="0.3">
      <c r="C171" s="27" t="e">
        <f>VLOOKUP(Table4[[#This Row],[Marker name]],BaseInfos_Table[#All],6,FALSE)</f>
        <v>#N/A</v>
      </c>
      <c r="G171" s="41" t="e">
        <f>(1*10^7)/Table4[[#This Row],[cm-1]]</f>
        <v>#DIV/0!</v>
      </c>
      <c r="I171" s="41" t="e">
        <f>(1*10^7)/Table4[[#This Row],[cm-2]]</f>
        <v>#DIV/0!</v>
      </c>
      <c r="K171" s="41" t="e">
        <f>(1*10^7)/Table4[[#This Row],[cm-3]]</f>
        <v>#DIV/0!</v>
      </c>
      <c r="R171" s="41" t="e">
        <f>(1*10^7)/Table4[[#This Row],[nm2]]</f>
        <v>#DIV/0!</v>
      </c>
      <c r="T171" s="41" t="e">
        <f>(1*10^7)/Table4[[#This Row],[nm12]]</f>
        <v>#DIV/0!</v>
      </c>
      <c r="Z171" s="28"/>
      <c r="AA171" s="28"/>
      <c r="AB171" s="28" t="e">
        <f>(1/Table4[[#This Row],[nm5]])*10^7</f>
        <v>#DIV/0!</v>
      </c>
      <c r="AC171" s="28"/>
      <c r="AD171" s="28" t="e">
        <f>(1/Table4[[#This Row],[nm8]])*10^7</f>
        <v>#DIV/0!</v>
      </c>
      <c r="AE171" s="28"/>
      <c r="AF171" s="28" t="e">
        <f>(1/Table4[[#This Row],[nm9]])*10^7</f>
        <v>#DIV/0!</v>
      </c>
      <c r="AG171" s="28"/>
      <c r="AH171" s="28"/>
      <c r="AI171" s="28" t="e">
        <f>(1/Table4[[#This Row],[nm4]])*10^7</f>
        <v>#DIV/0!</v>
      </c>
      <c r="AJ171" s="28"/>
      <c r="AK171" s="28" t="e">
        <f>(1/Table4[[#This Row],[nm14]])*10^7</f>
        <v>#DIV/0!</v>
      </c>
      <c r="AL171" s="28"/>
      <c r="AM171" s="28"/>
      <c r="AN171" s="28" t="e">
        <f>(1/Table4[[#This Row],[nm28]])*10^7</f>
        <v>#DIV/0!</v>
      </c>
      <c r="AO171" s="28"/>
      <c r="AP171" s="28" t="e">
        <f>(1/Table4[[#This Row],[nm10]])*10^7</f>
        <v>#DIV/0!</v>
      </c>
      <c r="AQ171" s="28"/>
      <c r="AR171" s="28" t="e">
        <f>(1/Table4[[#This Row],[nm11]])*10^7</f>
        <v>#DIV/0!</v>
      </c>
      <c r="AS171" s="28"/>
      <c r="AT171" s="28">
        <f>Table4[[#This Row],[Φ]]*100</f>
        <v>0</v>
      </c>
      <c r="AU171" s="28"/>
      <c r="AV171" s="28"/>
    </row>
    <row r="172" spans="3:48" x14ac:dyDescent="0.3">
      <c r="C172" s="27" t="e">
        <f>VLOOKUP(Table4[[#This Row],[Marker name]],BaseInfos_Table[#All],6,FALSE)</f>
        <v>#N/A</v>
      </c>
      <c r="G172" s="41" t="e">
        <f>(1*10^7)/Table4[[#This Row],[cm-1]]</f>
        <v>#DIV/0!</v>
      </c>
      <c r="I172" s="41" t="e">
        <f>(1*10^7)/Table4[[#This Row],[cm-2]]</f>
        <v>#DIV/0!</v>
      </c>
      <c r="K172" s="41" t="e">
        <f>(1*10^7)/Table4[[#This Row],[cm-3]]</f>
        <v>#DIV/0!</v>
      </c>
      <c r="R172" s="41" t="e">
        <f>(1*10^7)/Table4[[#This Row],[nm2]]</f>
        <v>#DIV/0!</v>
      </c>
      <c r="T172" s="41" t="e">
        <f>(1*10^7)/Table4[[#This Row],[nm12]]</f>
        <v>#DIV/0!</v>
      </c>
      <c r="Z172" s="28"/>
      <c r="AA172" s="28"/>
      <c r="AB172" s="28" t="e">
        <f>(1/Table4[[#This Row],[nm5]])*10^7</f>
        <v>#DIV/0!</v>
      </c>
      <c r="AC172" s="28"/>
      <c r="AD172" s="28" t="e">
        <f>(1/Table4[[#This Row],[nm8]])*10^7</f>
        <v>#DIV/0!</v>
      </c>
      <c r="AE172" s="28"/>
      <c r="AF172" s="28" t="e">
        <f>(1/Table4[[#This Row],[nm9]])*10^7</f>
        <v>#DIV/0!</v>
      </c>
      <c r="AG172" s="28"/>
      <c r="AH172" s="28"/>
      <c r="AI172" s="28" t="e">
        <f>(1/Table4[[#This Row],[nm4]])*10^7</f>
        <v>#DIV/0!</v>
      </c>
      <c r="AJ172" s="28"/>
      <c r="AK172" s="28" t="e">
        <f>(1/Table4[[#This Row],[nm14]])*10^7</f>
        <v>#DIV/0!</v>
      </c>
      <c r="AL172" s="28"/>
      <c r="AM172" s="28"/>
      <c r="AN172" s="28" t="e">
        <f>(1/Table4[[#This Row],[nm28]])*10^7</f>
        <v>#DIV/0!</v>
      </c>
      <c r="AO172" s="28"/>
      <c r="AP172" s="28" t="e">
        <f>(1/Table4[[#This Row],[nm10]])*10^7</f>
        <v>#DIV/0!</v>
      </c>
      <c r="AQ172" s="28"/>
      <c r="AR172" s="28" t="e">
        <f>(1/Table4[[#This Row],[nm11]])*10^7</f>
        <v>#DIV/0!</v>
      </c>
      <c r="AS172" s="28"/>
      <c r="AT172" s="28">
        <f>Table4[[#This Row],[Φ]]*100</f>
        <v>0</v>
      </c>
      <c r="AU172" s="28"/>
      <c r="AV172" s="28"/>
    </row>
    <row r="173" spans="3:48" x14ac:dyDescent="0.3">
      <c r="C173" s="27" t="e">
        <f>VLOOKUP(Table4[[#This Row],[Marker name]],BaseInfos_Table[#All],6,FALSE)</f>
        <v>#N/A</v>
      </c>
      <c r="G173" s="41" t="e">
        <f>(1*10^7)/Table4[[#This Row],[cm-1]]</f>
        <v>#DIV/0!</v>
      </c>
      <c r="I173" s="41" t="e">
        <f>(1*10^7)/Table4[[#This Row],[cm-2]]</f>
        <v>#DIV/0!</v>
      </c>
      <c r="K173" s="41" t="e">
        <f>(1*10^7)/Table4[[#This Row],[cm-3]]</f>
        <v>#DIV/0!</v>
      </c>
      <c r="R173" s="41" t="e">
        <f>(1*10^7)/Table4[[#This Row],[nm2]]</f>
        <v>#DIV/0!</v>
      </c>
      <c r="T173" s="41" t="e">
        <f>(1*10^7)/Table4[[#This Row],[nm12]]</f>
        <v>#DIV/0!</v>
      </c>
      <c r="Z173" s="28"/>
      <c r="AA173" s="28"/>
      <c r="AB173" s="28" t="e">
        <f>(1/Table4[[#This Row],[nm5]])*10^7</f>
        <v>#DIV/0!</v>
      </c>
      <c r="AC173" s="28"/>
      <c r="AD173" s="28" t="e">
        <f>(1/Table4[[#This Row],[nm8]])*10^7</f>
        <v>#DIV/0!</v>
      </c>
      <c r="AE173" s="28"/>
      <c r="AF173" s="28" t="e">
        <f>(1/Table4[[#This Row],[nm9]])*10^7</f>
        <v>#DIV/0!</v>
      </c>
      <c r="AG173" s="28"/>
      <c r="AH173" s="28"/>
      <c r="AI173" s="28" t="e">
        <f>(1/Table4[[#This Row],[nm4]])*10^7</f>
        <v>#DIV/0!</v>
      </c>
      <c r="AJ173" s="28"/>
      <c r="AK173" s="28" t="e">
        <f>(1/Table4[[#This Row],[nm14]])*10^7</f>
        <v>#DIV/0!</v>
      </c>
      <c r="AL173" s="28"/>
      <c r="AM173" s="28"/>
      <c r="AN173" s="28" t="e">
        <f>(1/Table4[[#This Row],[nm28]])*10^7</f>
        <v>#DIV/0!</v>
      </c>
      <c r="AO173" s="28"/>
      <c r="AP173" s="28" t="e">
        <f>(1/Table4[[#This Row],[nm10]])*10^7</f>
        <v>#DIV/0!</v>
      </c>
      <c r="AQ173" s="28"/>
      <c r="AR173" s="28" t="e">
        <f>(1/Table4[[#This Row],[nm11]])*10^7</f>
        <v>#DIV/0!</v>
      </c>
      <c r="AS173" s="28"/>
      <c r="AT173" s="28">
        <f>Table4[[#This Row],[Φ]]*100</f>
        <v>0</v>
      </c>
      <c r="AU173" s="28"/>
      <c r="AV173" s="28"/>
    </row>
    <row r="174" spans="3:48" x14ac:dyDescent="0.3">
      <c r="C174" s="27" t="e">
        <f>VLOOKUP(Table4[[#This Row],[Marker name]],BaseInfos_Table[#All],6,FALSE)</f>
        <v>#N/A</v>
      </c>
      <c r="G174" s="41" t="e">
        <f>(1*10^7)/Table4[[#This Row],[cm-1]]</f>
        <v>#DIV/0!</v>
      </c>
      <c r="I174" s="41" t="e">
        <f>(1*10^7)/Table4[[#This Row],[cm-2]]</f>
        <v>#DIV/0!</v>
      </c>
      <c r="K174" s="41" t="e">
        <f>(1*10^7)/Table4[[#This Row],[cm-3]]</f>
        <v>#DIV/0!</v>
      </c>
      <c r="R174" s="41" t="e">
        <f>(1*10^7)/Table4[[#This Row],[nm2]]</f>
        <v>#DIV/0!</v>
      </c>
      <c r="T174" s="41" t="e">
        <f>(1*10^7)/Table4[[#This Row],[nm12]]</f>
        <v>#DIV/0!</v>
      </c>
      <c r="Z174" s="28"/>
      <c r="AA174" s="28"/>
      <c r="AB174" s="28" t="e">
        <f>(1/Table4[[#This Row],[nm5]])*10^7</f>
        <v>#DIV/0!</v>
      </c>
      <c r="AC174" s="28"/>
      <c r="AD174" s="28" t="e">
        <f>(1/Table4[[#This Row],[nm8]])*10^7</f>
        <v>#DIV/0!</v>
      </c>
      <c r="AE174" s="28"/>
      <c r="AF174" s="28" t="e">
        <f>(1/Table4[[#This Row],[nm9]])*10^7</f>
        <v>#DIV/0!</v>
      </c>
      <c r="AG174" s="28"/>
      <c r="AH174" s="28"/>
      <c r="AI174" s="28" t="e">
        <f>(1/Table4[[#This Row],[nm4]])*10^7</f>
        <v>#DIV/0!</v>
      </c>
      <c r="AJ174" s="28"/>
      <c r="AK174" s="28" t="e">
        <f>(1/Table4[[#This Row],[nm14]])*10^7</f>
        <v>#DIV/0!</v>
      </c>
      <c r="AL174" s="28"/>
      <c r="AM174" s="28"/>
      <c r="AN174" s="28" t="e">
        <f>(1/Table4[[#This Row],[nm28]])*10^7</f>
        <v>#DIV/0!</v>
      </c>
      <c r="AO174" s="28"/>
      <c r="AP174" s="28" t="e">
        <f>(1/Table4[[#This Row],[nm10]])*10^7</f>
        <v>#DIV/0!</v>
      </c>
      <c r="AQ174" s="28"/>
      <c r="AR174" s="28" t="e">
        <f>(1/Table4[[#This Row],[nm11]])*10^7</f>
        <v>#DIV/0!</v>
      </c>
      <c r="AS174" s="28"/>
      <c r="AT174" s="28">
        <f>Table4[[#This Row],[Φ]]*100</f>
        <v>0</v>
      </c>
      <c r="AU174" s="28"/>
      <c r="AV174" s="28"/>
    </row>
    <row r="175" spans="3:48" x14ac:dyDescent="0.3">
      <c r="C175" s="27" t="e">
        <f>VLOOKUP(Table4[[#This Row],[Marker name]],BaseInfos_Table[#All],6,FALSE)</f>
        <v>#N/A</v>
      </c>
      <c r="G175" s="41" t="e">
        <f>(1*10^7)/Table4[[#This Row],[cm-1]]</f>
        <v>#DIV/0!</v>
      </c>
      <c r="I175" s="41" t="e">
        <f>(1*10^7)/Table4[[#This Row],[cm-2]]</f>
        <v>#DIV/0!</v>
      </c>
      <c r="K175" s="41" t="e">
        <f>(1*10^7)/Table4[[#This Row],[cm-3]]</f>
        <v>#DIV/0!</v>
      </c>
      <c r="R175" s="41" t="e">
        <f>(1*10^7)/Table4[[#This Row],[nm2]]</f>
        <v>#DIV/0!</v>
      </c>
      <c r="T175" s="41" t="e">
        <f>(1*10^7)/Table4[[#This Row],[nm12]]</f>
        <v>#DIV/0!</v>
      </c>
      <c r="Z175" s="28"/>
      <c r="AA175" s="28"/>
      <c r="AB175" s="28" t="e">
        <f>(1/Table4[[#This Row],[nm5]])*10^7</f>
        <v>#DIV/0!</v>
      </c>
      <c r="AC175" s="28"/>
      <c r="AD175" s="28" t="e">
        <f>(1/Table4[[#This Row],[nm8]])*10^7</f>
        <v>#DIV/0!</v>
      </c>
      <c r="AE175" s="28"/>
      <c r="AF175" s="28" t="e">
        <f>(1/Table4[[#This Row],[nm9]])*10^7</f>
        <v>#DIV/0!</v>
      </c>
      <c r="AG175" s="28"/>
      <c r="AH175" s="28"/>
      <c r="AI175" s="28" t="e">
        <f>(1/Table4[[#This Row],[nm4]])*10^7</f>
        <v>#DIV/0!</v>
      </c>
      <c r="AJ175" s="28"/>
      <c r="AK175" s="28" t="e">
        <f>(1/Table4[[#This Row],[nm14]])*10^7</f>
        <v>#DIV/0!</v>
      </c>
      <c r="AL175" s="28"/>
      <c r="AM175" s="28"/>
      <c r="AN175" s="28" t="e">
        <f>(1/Table4[[#This Row],[nm28]])*10^7</f>
        <v>#DIV/0!</v>
      </c>
      <c r="AO175" s="28"/>
      <c r="AP175" s="28" t="e">
        <f>(1/Table4[[#This Row],[nm10]])*10^7</f>
        <v>#DIV/0!</v>
      </c>
      <c r="AQ175" s="28"/>
      <c r="AR175" s="28" t="e">
        <f>(1/Table4[[#This Row],[nm11]])*10^7</f>
        <v>#DIV/0!</v>
      </c>
      <c r="AS175" s="28"/>
      <c r="AT175" s="28">
        <f>Table4[[#This Row],[Φ]]*100</f>
        <v>0</v>
      </c>
      <c r="AU175" s="28"/>
      <c r="AV175" s="28"/>
    </row>
    <row r="176" spans="3:48" x14ac:dyDescent="0.3">
      <c r="C176" s="27" t="e">
        <f>VLOOKUP(Table4[[#This Row],[Marker name]],BaseInfos_Table[#All],6,FALSE)</f>
        <v>#N/A</v>
      </c>
      <c r="G176" s="41" t="e">
        <f>(1*10^7)/Table4[[#This Row],[cm-1]]</f>
        <v>#DIV/0!</v>
      </c>
      <c r="I176" s="41" t="e">
        <f>(1*10^7)/Table4[[#This Row],[cm-2]]</f>
        <v>#DIV/0!</v>
      </c>
      <c r="K176" s="41" t="e">
        <f>(1*10^7)/Table4[[#This Row],[cm-3]]</f>
        <v>#DIV/0!</v>
      </c>
      <c r="R176" s="41" t="e">
        <f>(1*10^7)/Table4[[#This Row],[nm2]]</f>
        <v>#DIV/0!</v>
      </c>
      <c r="T176" s="41" t="e">
        <f>(1*10^7)/Table4[[#This Row],[nm12]]</f>
        <v>#DIV/0!</v>
      </c>
      <c r="Z176" s="28"/>
      <c r="AA176" s="28"/>
      <c r="AB176" s="28" t="e">
        <f>(1/Table4[[#This Row],[nm5]])*10^7</f>
        <v>#DIV/0!</v>
      </c>
      <c r="AC176" s="28"/>
      <c r="AD176" s="28" t="e">
        <f>(1/Table4[[#This Row],[nm8]])*10^7</f>
        <v>#DIV/0!</v>
      </c>
      <c r="AE176" s="28"/>
      <c r="AF176" s="28" t="e">
        <f>(1/Table4[[#This Row],[nm9]])*10^7</f>
        <v>#DIV/0!</v>
      </c>
      <c r="AG176" s="28"/>
      <c r="AH176" s="28"/>
      <c r="AI176" s="28" t="e">
        <f>(1/Table4[[#This Row],[nm4]])*10^7</f>
        <v>#DIV/0!</v>
      </c>
      <c r="AJ176" s="28"/>
      <c r="AK176" s="28" t="e">
        <f>(1/Table4[[#This Row],[nm14]])*10^7</f>
        <v>#DIV/0!</v>
      </c>
      <c r="AL176" s="28"/>
      <c r="AM176" s="28"/>
      <c r="AN176" s="28" t="e">
        <f>(1/Table4[[#This Row],[nm28]])*10^7</f>
        <v>#DIV/0!</v>
      </c>
      <c r="AO176" s="28"/>
      <c r="AP176" s="28" t="e">
        <f>(1/Table4[[#This Row],[nm10]])*10^7</f>
        <v>#DIV/0!</v>
      </c>
      <c r="AQ176" s="28"/>
      <c r="AR176" s="28" t="e">
        <f>(1/Table4[[#This Row],[nm11]])*10^7</f>
        <v>#DIV/0!</v>
      </c>
      <c r="AS176" s="28"/>
      <c r="AT176" s="28">
        <f>Table4[[#This Row],[Φ]]*100</f>
        <v>0</v>
      </c>
      <c r="AU176" s="28"/>
      <c r="AV176" s="28"/>
    </row>
    <row r="177" spans="3:48" x14ac:dyDescent="0.3">
      <c r="C177" s="27" t="e">
        <f>VLOOKUP(Table4[[#This Row],[Marker name]],BaseInfos_Table[#All],6,FALSE)</f>
        <v>#N/A</v>
      </c>
      <c r="G177" s="41" t="e">
        <f>(1*10^7)/Table4[[#This Row],[cm-1]]</f>
        <v>#DIV/0!</v>
      </c>
      <c r="I177" s="41" t="e">
        <f>(1*10^7)/Table4[[#This Row],[cm-2]]</f>
        <v>#DIV/0!</v>
      </c>
      <c r="K177" s="41" t="e">
        <f>(1*10^7)/Table4[[#This Row],[cm-3]]</f>
        <v>#DIV/0!</v>
      </c>
      <c r="R177" s="41" t="e">
        <f>(1*10^7)/Table4[[#This Row],[nm2]]</f>
        <v>#DIV/0!</v>
      </c>
      <c r="T177" s="41" t="e">
        <f>(1*10^7)/Table4[[#This Row],[nm12]]</f>
        <v>#DIV/0!</v>
      </c>
      <c r="Z177" s="28"/>
      <c r="AA177" s="28"/>
      <c r="AB177" s="28" t="e">
        <f>(1/Table4[[#This Row],[nm5]])*10^7</f>
        <v>#DIV/0!</v>
      </c>
      <c r="AC177" s="28"/>
      <c r="AD177" s="28" t="e">
        <f>(1/Table4[[#This Row],[nm8]])*10^7</f>
        <v>#DIV/0!</v>
      </c>
      <c r="AE177" s="28"/>
      <c r="AF177" s="28" t="e">
        <f>(1/Table4[[#This Row],[nm9]])*10^7</f>
        <v>#DIV/0!</v>
      </c>
      <c r="AG177" s="28"/>
      <c r="AH177" s="28"/>
      <c r="AI177" s="28" t="e">
        <f>(1/Table4[[#This Row],[nm4]])*10^7</f>
        <v>#DIV/0!</v>
      </c>
      <c r="AJ177" s="28"/>
      <c r="AK177" s="28" t="e">
        <f>(1/Table4[[#This Row],[nm14]])*10^7</f>
        <v>#DIV/0!</v>
      </c>
      <c r="AL177" s="28"/>
      <c r="AM177" s="28"/>
      <c r="AN177" s="28" t="e">
        <f>(1/Table4[[#This Row],[nm28]])*10^7</f>
        <v>#DIV/0!</v>
      </c>
      <c r="AO177" s="28"/>
      <c r="AP177" s="28" t="e">
        <f>(1/Table4[[#This Row],[nm10]])*10^7</f>
        <v>#DIV/0!</v>
      </c>
      <c r="AQ177" s="28"/>
      <c r="AR177" s="28" t="e">
        <f>(1/Table4[[#This Row],[nm11]])*10^7</f>
        <v>#DIV/0!</v>
      </c>
      <c r="AS177" s="28"/>
      <c r="AT177" s="28">
        <f>Table4[[#This Row],[Φ]]*100</f>
        <v>0</v>
      </c>
      <c r="AU177" s="28"/>
      <c r="AV177" s="28"/>
    </row>
    <row r="178" spans="3:48" x14ac:dyDescent="0.3">
      <c r="C178" s="27" t="e">
        <f>VLOOKUP(Table4[[#This Row],[Marker name]],BaseInfos_Table[#All],6,FALSE)</f>
        <v>#N/A</v>
      </c>
      <c r="G178" s="41" t="e">
        <f>(1*10^7)/Table4[[#This Row],[cm-1]]</f>
        <v>#DIV/0!</v>
      </c>
      <c r="I178" s="41" t="e">
        <f>(1*10^7)/Table4[[#This Row],[cm-2]]</f>
        <v>#DIV/0!</v>
      </c>
      <c r="K178" s="41" t="e">
        <f>(1*10^7)/Table4[[#This Row],[cm-3]]</f>
        <v>#DIV/0!</v>
      </c>
      <c r="R178" s="41" t="e">
        <f>(1*10^7)/Table4[[#This Row],[nm2]]</f>
        <v>#DIV/0!</v>
      </c>
      <c r="T178" s="41" t="e">
        <f>(1*10^7)/Table4[[#This Row],[nm12]]</f>
        <v>#DIV/0!</v>
      </c>
      <c r="Z178" s="28"/>
      <c r="AA178" s="28"/>
      <c r="AB178" s="28" t="e">
        <f>(1/Table4[[#This Row],[nm5]])*10^7</f>
        <v>#DIV/0!</v>
      </c>
      <c r="AC178" s="28"/>
      <c r="AD178" s="28" t="e">
        <f>(1/Table4[[#This Row],[nm8]])*10^7</f>
        <v>#DIV/0!</v>
      </c>
      <c r="AE178" s="28"/>
      <c r="AF178" s="28" t="e">
        <f>(1/Table4[[#This Row],[nm9]])*10^7</f>
        <v>#DIV/0!</v>
      </c>
      <c r="AG178" s="28"/>
      <c r="AH178" s="28"/>
      <c r="AI178" s="28" t="e">
        <f>(1/Table4[[#This Row],[nm4]])*10^7</f>
        <v>#DIV/0!</v>
      </c>
      <c r="AJ178" s="28"/>
      <c r="AK178" s="28" t="e">
        <f>(1/Table4[[#This Row],[nm14]])*10^7</f>
        <v>#DIV/0!</v>
      </c>
      <c r="AL178" s="28"/>
      <c r="AM178" s="28"/>
      <c r="AN178" s="28" t="e">
        <f>(1/Table4[[#This Row],[nm28]])*10^7</f>
        <v>#DIV/0!</v>
      </c>
      <c r="AO178" s="28"/>
      <c r="AP178" s="28" t="e">
        <f>(1/Table4[[#This Row],[nm10]])*10^7</f>
        <v>#DIV/0!</v>
      </c>
      <c r="AQ178" s="28"/>
      <c r="AR178" s="28" t="e">
        <f>(1/Table4[[#This Row],[nm11]])*10^7</f>
        <v>#DIV/0!</v>
      </c>
      <c r="AS178" s="28"/>
      <c r="AT178" s="28">
        <f>Table4[[#This Row],[Φ]]*100</f>
        <v>0</v>
      </c>
      <c r="AU178" s="28"/>
      <c r="AV178" s="28"/>
    </row>
    <row r="179" spans="3:48" x14ac:dyDescent="0.3">
      <c r="C179" s="27" t="e">
        <f>VLOOKUP(Table4[[#This Row],[Marker name]],BaseInfos_Table[#All],6,FALSE)</f>
        <v>#N/A</v>
      </c>
      <c r="G179" s="41" t="e">
        <f>(1*10^7)/Table4[[#This Row],[cm-1]]</f>
        <v>#DIV/0!</v>
      </c>
      <c r="I179" s="41" t="e">
        <f>(1*10^7)/Table4[[#This Row],[cm-2]]</f>
        <v>#DIV/0!</v>
      </c>
      <c r="K179" s="41" t="e">
        <f>(1*10^7)/Table4[[#This Row],[cm-3]]</f>
        <v>#DIV/0!</v>
      </c>
      <c r="R179" s="41" t="e">
        <f>(1*10^7)/Table4[[#This Row],[nm2]]</f>
        <v>#DIV/0!</v>
      </c>
      <c r="T179" s="41" t="e">
        <f>(1*10^7)/Table4[[#This Row],[nm12]]</f>
        <v>#DIV/0!</v>
      </c>
      <c r="Z179" s="28"/>
      <c r="AA179" s="28"/>
      <c r="AB179" s="28" t="e">
        <f>(1/Table4[[#This Row],[nm5]])*10^7</f>
        <v>#DIV/0!</v>
      </c>
      <c r="AC179" s="28"/>
      <c r="AD179" s="28" t="e">
        <f>(1/Table4[[#This Row],[nm8]])*10^7</f>
        <v>#DIV/0!</v>
      </c>
      <c r="AE179" s="28"/>
      <c r="AF179" s="28" t="e">
        <f>(1/Table4[[#This Row],[nm9]])*10^7</f>
        <v>#DIV/0!</v>
      </c>
      <c r="AG179" s="28"/>
      <c r="AH179" s="28"/>
      <c r="AI179" s="28" t="e">
        <f>(1/Table4[[#This Row],[nm4]])*10^7</f>
        <v>#DIV/0!</v>
      </c>
      <c r="AJ179" s="28"/>
      <c r="AK179" s="28" t="e">
        <f>(1/Table4[[#This Row],[nm14]])*10^7</f>
        <v>#DIV/0!</v>
      </c>
      <c r="AL179" s="28"/>
      <c r="AM179" s="28"/>
      <c r="AN179" s="28" t="e">
        <f>(1/Table4[[#This Row],[nm28]])*10^7</f>
        <v>#DIV/0!</v>
      </c>
      <c r="AO179" s="28"/>
      <c r="AP179" s="28" t="e">
        <f>(1/Table4[[#This Row],[nm10]])*10^7</f>
        <v>#DIV/0!</v>
      </c>
      <c r="AQ179" s="28"/>
      <c r="AR179" s="28" t="e">
        <f>(1/Table4[[#This Row],[nm11]])*10^7</f>
        <v>#DIV/0!</v>
      </c>
      <c r="AS179" s="28"/>
      <c r="AT179" s="28">
        <f>Table4[[#This Row],[Φ]]*100</f>
        <v>0</v>
      </c>
      <c r="AU179" s="28"/>
      <c r="AV179" s="28"/>
    </row>
    <row r="180" spans="3:48" x14ac:dyDescent="0.3">
      <c r="C180" s="27" t="e">
        <f>VLOOKUP(Table4[[#This Row],[Marker name]],BaseInfos_Table[#All],6,FALSE)</f>
        <v>#N/A</v>
      </c>
      <c r="G180" s="41" t="e">
        <f>(1*10^7)/Table4[[#This Row],[cm-1]]</f>
        <v>#DIV/0!</v>
      </c>
      <c r="I180" s="41" t="e">
        <f>(1*10^7)/Table4[[#This Row],[cm-2]]</f>
        <v>#DIV/0!</v>
      </c>
      <c r="K180" s="41" t="e">
        <f>(1*10^7)/Table4[[#This Row],[cm-3]]</f>
        <v>#DIV/0!</v>
      </c>
      <c r="R180" s="41" t="e">
        <f>(1*10^7)/Table4[[#This Row],[nm2]]</f>
        <v>#DIV/0!</v>
      </c>
      <c r="T180" s="41" t="e">
        <f>(1*10^7)/Table4[[#This Row],[nm12]]</f>
        <v>#DIV/0!</v>
      </c>
      <c r="Z180" s="28"/>
      <c r="AA180" s="28"/>
      <c r="AB180" s="28" t="e">
        <f>(1/Table4[[#This Row],[nm5]])*10^7</f>
        <v>#DIV/0!</v>
      </c>
      <c r="AC180" s="28"/>
      <c r="AD180" s="28" t="e">
        <f>(1/Table4[[#This Row],[nm8]])*10^7</f>
        <v>#DIV/0!</v>
      </c>
      <c r="AE180" s="28"/>
      <c r="AF180" s="28" t="e">
        <f>(1/Table4[[#This Row],[nm9]])*10^7</f>
        <v>#DIV/0!</v>
      </c>
      <c r="AG180" s="28"/>
      <c r="AH180" s="28"/>
      <c r="AI180" s="28" t="e">
        <f>(1/Table4[[#This Row],[nm4]])*10^7</f>
        <v>#DIV/0!</v>
      </c>
      <c r="AJ180" s="28"/>
      <c r="AK180" s="28" t="e">
        <f>(1/Table4[[#This Row],[nm14]])*10^7</f>
        <v>#DIV/0!</v>
      </c>
      <c r="AL180" s="28"/>
      <c r="AM180" s="28"/>
      <c r="AN180" s="28" t="e">
        <f>(1/Table4[[#This Row],[nm28]])*10^7</f>
        <v>#DIV/0!</v>
      </c>
      <c r="AO180" s="28"/>
      <c r="AP180" s="28" t="e">
        <f>(1/Table4[[#This Row],[nm10]])*10^7</f>
        <v>#DIV/0!</v>
      </c>
      <c r="AQ180" s="28"/>
      <c r="AR180" s="28" t="e">
        <f>(1/Table4[[#This Row],[nm11]])*10^7</f>
        <v>#DIV/0!</v>
      </c>
      <c r="AS180" s="28"/>
      <c r="AT180" s="28">
        <f>Table4[[#This Row],[Φ]]*100</f>
        <v>0</v>
      </c>
      <c r="AU180" s="28"/>
      <c r="AV180" s="28"/>
    </row>
    <row r="181" spans="3:48" x14ac:dyDescent="0.3">
      <c r="C181" s="27" t="e">
        <f>VLOOKUP(Table4[[#This Row],[Marker name]],BaseInfos_Table[#All],6,FALSE)</f>
        <v>#N/A</v>
      </c>
      <c r="G181" s="41" t="e">
        <f>(1*10^7)/Table4[[#This Row],[cm-1]]</f>
        <v>#DIV/0!</v>
      </c>
      <c r="I181" s="41" t="e">
        <f>(1*10^7)/Table4[[#This Row],[cm-2]]</f>
        <v>#DIV/0!</v>
      </c>
      <c r="K181" s="41" t="e">
        <f>(1*10^7)/Table4[[#This Row],[cm-3]]</f>
        <v>#DIV/0!</v>
      </c>
      <c r="R181" s="41" t="e">
        <f>(1*10^7)/Table4[[#This Row],[nm2]]</f>
        <v>#DIV/0!</v>
      </c>
      <c r="T181" s="41" t="e">
        <f>(1*10^7)/Table4[[#This Row],[nm12]]</f>
        <v>#DIV/0!</v>
      </c>
      <c r="Z181" s="28"/>
      <c r="AA181" s="28"/>
      <c r="AB181" s="28" t="e">
        <f>(1/Table4[[#This Row],[nm5]])*10^7</f>
        <v>#DIV/0!</v>
      </c>
      <c r="AC181" s="28"/>
      <c r="AD181" s="28" t="e">
        <f>(1/Table4[[#This Row],[nm8]])*10^7</f>
        <v>#DIV/0!</v>
      </c>
      <c r="AE181" s="28"/>
      <c r="AF181" s="28" t="e">
        <f>(1/Table4[[#This Row],[nm9]])*10^7</f>
        <v>#DIV/0!</v>
      </c>
      <c r="AG181" s="28"/>
      <c r="AH181" s="28"/>
      <c r="AI181" s="28" t="e">
        <f>(1/Table4[[#This Row],[nm4]])*10^7</f>
        <v>#DIV/0!</v>
      </c>
      <c r="AJ181" s="28"/>
      <c r="AK181" s="28" t="e">
        <f>(1/Table4[[#This Row],[nm14]])*10^7</f>
        <v>#DIV/0!</v>
      </c>
      <c r="AL181" s="28"/>
      <c r="AM181" s="28"/>
      <c r="AN181" s="28" t="e">
        <f>(1/Table4[[#This Row],[nm28]])*10^7</f>
        <v>#DIV/0!</v>
      </c>
      <c r="AO181" s="28"/>
      <c r="AP181" s="28" t="e">
        <f>(1/Table4[[#This Row],[nm10]])*10^7</f>
        <v>#DIV/0!</v>
      </c>
      <c r="AQ181" s="28"/>
      <c r="AR181" s="28" t="e">
        <f>(1/Table4[[#This Row],[nm11]])*10^7</f>
        <v>#DIV/0!</v>
      </c>
      <c r="AS181" s="28"/>
      <c r="AT181" s="28">
        <f>Table4[[#This Row],[Φ]]*100</f>
        <v>0</v>
      </c>
      <c r="AU181" s="28"/>
      <c r="AV181" s="28"/>
    </row>
    <row r="182" spans="3:48" x14ac:dyDescent="0.3">
      <c r="C182" s="27" t="e">
        <f>VLOOKUP(Table4[[#This Row],[Marker name]],BaseInfos_Table[#All],6,FALSE)</f>
        <v>#N/A</v>
      </c>
      <c r="G182" s="41" t="e">
        <f>(1*10^7)/Table4[[#This Row],[cm-1]]</f>
        <v>#DIV/0!</v>
      </c>
      <c r="I182" s="41" t="e">
        <f>(1*10^7)/Table4[[#This Row],[cm-2]]</f>
        <v>#DIV/0!</v>
      </c>
      <c r="K182" s="41" t="e">
        <f>(1*10^7)/Table4[[#This Row],[cm-3]]</f>
        <v>#DIV/0!</v>
      </c>
      <c r="R182" s="41" t="e">
        <f>(1*10^7)/Table4[[#This Row],[nm2]]</f>
        <v>#DIV/0!</v>
      </c>
      <c r="T182" s="41" t="e">
        <f>(1*10^7)/Table4[[#This Row],[nm12]]</f>
        <v>#DIV/0!</v>
      </c>
      <c r="Z182" s="28"/>
      <c r="AA182" s="28"/>
      <c r="AB182" s="28" t="e">
        <f>(1/Table4[[#This Row],[nm5]])*10^7</f>
        <v>#DIV/0!</v>
      </c>
      <c r="AC182" s="28"/>
      <c r="AD182" s="28" t="e">
        <f>(1/Table4[[#This Row],[nm8]])*10^7</f>
        <v>#DIV/0!</v>
      </c>
      <c r="AE182" s="28"/>
      <c r="AF182" s="28" t="e">
        <f>(1/Table4[[#This Row],[nm9]])*10^7</f>
        <v>#DIV/0!</v>
      </c>
      <c r="AG182" s="28"/>
      <c r="AH182" s="28"/>
      <c r="AI182" s="28" t="e">
        <f>(1/Table4[[#This Row],[nm4]])*10^7</f>
        <v>#DIV/0!</v>
      </c>
      <c r="AJ182" s="28"/>
      <c r="AK182" s="28" t="e">
        <f>(1/Table4[[#This Row],[nm14]])*10^7</f>
        <v>#DIV/0!</v>
      </c>
      <c r="AL182" s="28"/>
      <c r="AM182" s="28"/>
      <c r="AN182" s="28" t="e">
        <f>(1/Table4[[#This Row],[nm28]])*10^7</f>
        <v>#DIV/0!</v>
      </c>
      <c r="AO182" s="28"/>
      <c r="AP182" s="28" t="e">
        <f>(1/Table4[[#This Row],[nm10]])*10^7</f>
        <v>#DIV/0!</v>
      </c>
      <c r="AQ182" s="28"/>
      <c r="AR182" s="28" t="e">
        <f>(1/Table4[[#This Row],[nm11]])*10^7</f>
        <v>#DIV/0!</v>
      </c>
      <c r="AS182" s="28"/>
      <c r="AT182" s="28">
        <f>Table4[[#This Row],[Φ]]*100</f>
        <v>0</v>
      </c>
      <c r="AU182" s="28"/>
      <c r="AV182" s="28"/>
    </row>
    <row r="183" spans="3:48" x14ac:dyDescent="0.3">
      <c r="C183" s="27" t="e">
        <f>VLOOKUP(Table4[[#This Row],[Marker name]],BaseInfos_Table[#All],6,FALSE)</f>
        <v>#N/A</v>
      </c>
      <c r="G183" s="41" t="e">
        <f>(1*10^7)/Table4[[#This Row],[cm-1]]</f>
        <v>#DIV/0!</v>
      </c>
      <c r="I183" s="41" t="e">
        <f>(1*10^7)/Table4[[#This Row],[cm-2]]</f>
        <v>#DIV/0!</v>
      </c>
      <c r="K183" s="41" t="e">
        <f>(1*10^7)/Table4[[#This Row],[cm-3]]</f>
        <v>#DIV/0!</v>
      </c>
      <c r="R183" s="41" t="e">
        <f>(1*10^7)/Table4[[#This Row],[nm2]]</f>
        <v>#DIV/0!</v>
      </c>
      <c r="T183" s="41" t="e">
        <f>(1*10^7)/Table4[[#This Row],[nm12]]</f>
        <v>#DIV/0!</v>
      </c>
      <c r="Z183" s="28"/>
      <c r="AA183" s="28"/>
      <c r="AB183" s="28" t="e">
        <f>(1/Table4[[#This Row],[nm5]])*10^7</f>
        <v>#DIV/0!</v>
      </c>
      <c r="AC183" s="28"/>
      <c r="AD183" s="28" t="e">
        <f>(1/Table4[[#This Row],[nm8]])*10^7</f>
        <v>#DIV/0!</v>
      </c>
      <c r="AE183" s="28"/>
      <c r="AF183" s="28" t="e">
        <f>(1/Table4[[#This Row],[nm9]])*10^7</f>
        <v>#DIV/0!</v>
      </c>
      <c r="AG183" s="28"/>
      <c r="AH183" s="28"/>
      <c r="AI183" s="28" t="e">
        <f>(1/Table4[[#This Row],[nm4]])*10^7</f>
        <v>#DIV/0!</v>
      </c>
      <c r="AJ183" s="28"/>
      <c r="AK183" s="28" t="e">
        <f>(1/Table4[[#This Row],[nm14]])*10^7</f>
        <v>#DIV/0!</v>
      </c>
      <c r="AL183" s="28"/>
      <c r="AM183" s="28"/>
      <c r="AN183" s="28" t="e">
        <f>(1/Table4[[#This Row],[nm28]])*10^7</f>
        <v>#DIV/0!</v>
      </c>
      <c r="AO183" s="28"/>
      <c r="AP183" s="28" t="e">
        <f>(1/Table4[[#This Row],[nm10]])*10^7</f>
        <v>#DIV/0!</v>
      </c>
      <c r="AQ183" s="28"/>
      <c r="AR183" s="28" t="e">
        <f>(1/Table4[[#This Row],[nm11]])*10^7</f>
        <v>#DIV/0!</v>
      </c>
      <c r="AS183" s="28"/>
      <c r="AT183" s="28">
        <f>Table4[[#This Row],[Φ]]*100</f>
        <v>0</v>
      </c>
      <c r="AU183" s="28"/>
      <c r="AV183" s="28"/>
    </row>
    <row r="184" spans="3:48" x14ac:dyDescent="0.3">
      <c r="C184" s="27" t="e">
        <f>VLOOKUP(Table4[[#This Row],[Marker name]],BaseInfos_Table[#All],6,FALSE)</f>
        <v>#N/A</v>
      </c>
      <c r="G184" s="41" t="e">
        <f>(1*10^7)/Table4[[#This Row],[cm-1]]</f>
        <v>#DIV/0!</v>
      </c>
      <c r="I184" s="41" t="e">
        <f>(1*10^7)/Table4[[#This Row],[cm-2]]</f>
        <v>#DIV/0!</v>
      </c>
      <c r="K184" s="41" t="e">
        <f>(1*10^7)/Table4[[#This Row],[cm-3]]</f>
        <v>#DIV/0!</v>
      </c>
      <c r="R184" s="41" t="e">
        <f>(1*10^7)/Table4[[#This Row],[nm2]]</f>
        <v>#DIV/0!</v>
      </c>
      <c r="T184" s="41" t="e">
        <f>(1*10^7)/Table4[[#This Row],[nm12]]</f>
        <v>#DIV/0!</v>
      </c>
      <c r="Z184" s="28"/>
      <c r="AA184" s="28"/>
      <c r="AB184" s="28" t="e">
        <f>(1/Table4[[#This Row],[nm5]])*10^7</f>
        <v>#DIV/0!</v>
      </c>
      <c r="AC184" s="28"/>
      <c r="AD184" s="28" t="e">
        <f>(1/Table4[[#This Row],[nm8]])*10^7</f>
        <v>#DIV/0!</v>
      </c>
      <c r="AE184" s="28"/>
      <c r="AF184" s="28" t="e">
        <f>(1/Table4[[#This Row],[nm9]])*10^7</f>
        <v>#DIV/0!</v>
      </c>
      <c r="AG184" s="28"/>
      <c r="AH184" s="28"/>
      <c r="AI184" s="28" t="e">
        <f>(1/Table4[[#This Row],[nm4]])*10^7</f>
        <v>#DIV/0!</v>
      </c>
      <c r="AJ184" s="28"/>
      <c r="AK184" s="28" t="e">
        <f>(1/Table4[[#This Row],[nm14]])*10^7</f>
        <v>#DIV/0!</v>
      </c>
      <c r="AL184" s="28"/>
      <c r="AM184" s="28"/>
      <c r="AN184" s="28" t="e">
        <f>(1/Table4[[#This Row],[nm28]])*10^7</f>
        <v>#DIV/0!</v>
      </c>
      <c r="AO184" s="28"/>
      <c r="AP184" s="28" t="e">
        <f>(1/Table4[[#This Row],[nm10]])*10^7</f>
        <v>#DIV/0!</v>
      </c>
      <c r="AQ184" s="28"/>
      <c r="AR184" s="28" t="e">
        <f>(1/Table4[[#This Row],[nm11]])*10^7</f>
        <v>#DIV/0!</v>
      </c>
      <c r="AS184" s="28"/>
      <c r="AT184" s="28">
        <f>Table4[[#This Row],[Φ]]*100</f>
        <v>0</v>
      </c>
      <c r="AU184" s="28"/>
      <c r="AV184" s="28"/>
    </row>
    <row r="185" spans="3:48" x14ac:dyDescent="0.3">
      <c r="C185" s="27" t="e">
        <f>VLOOKUP(Table4[[#This Row],[Marker name]],BaseInfos_Table[#All],6,FALSE)</f>
        <v>#N/A</v>
      </c>
      <c r="G185" s="41" t="e">
        <f>(1*10^7)/Table4[[#This Row],[cm-1]]</f>
        <v>#DIV/0!</v>
      </c>
      <c r="I185" s="41" t="e">
        <f>(1*10^7)/Table4[[#This Row],[cm-2]]</f>
        <v>#DIV/0!</v>
      </c>
      <c r="K185" s="41" t="e">
        <f>(1*10^7)/Table4[[#This Row],[cm-3]]</f>
        <v>#DIV/0!</v>
      </c>
      <c r="R185" s="41" t="e">
        <f>(1*10^7)/Table4[[#This Row],[nm2]]</f>
        <v>#DIV/0!</v>
      </c>
      <c r="T185" s="41" t="e">
        <f>(1*10^7)/Table4[[#This Row],[nm12]]</f>
        <v>#DIV/0!</v>
      </c>
      <c r="Z185" s="28"/>
      <c r="AA185" s="28"/>
      <c r="AB185" s="28" t="e">
        <f>(1/Table4[[#This Row],[nm5]])*10^7</f>
        <v>#DIV/0!</v>
      </c>
      <c r="AC185" s="28"/>
      <c r="AD185" s="28" t="e">
        <f>(1/Table4[[#This Row],[nm8]])*10^7</f>
        <v>#DIV/0!</v>
      </c>
      <c r="AE185" s="28"/>
      <c r="AF185" s="28" t="e">
        <f>(1/Table4[[#This Row],[nm9]])*10^7</f>
        <v>#DIV/0!</v>
      </c>
      <c r="AG185" s="28"/>
      <c r="AH185" s="28"/>
      <c r="AI185" s="28" t="e">
        <f>(1/Table4[[#This Row],[nm4]])*10^7</f>
        <v>#DIV/0!</v>
      </c>
      <c r="AJ185" s="28"/>
      <c r="AK185" s="28" t="e">
        <f>(1/Table4[[#This Row],[nm14]])*10^7</f>
        <v>#DIV/0!</v>
      </c>
      <c r="AL185" s="28"/>
      <c r="AM185" s="28"/>
      <c r="AN185" s="28" t="e">
        <f>(1/Table4[[#This Row],[nm28]])*10^7</f>
        <v>#DIV/0!</v>
      </c>
      <c r="AO185" s="28"/>
      <c r="AP185" s="28" t="e">
        <f>(1/Table4[[#This Row],[nm10]])*10^7</f>
        <v>#DIV/0!</v>
      </c>
      <c r="AQ185" s="28"/>
      <c r="AR185" s="28" t="e">
        <f>(1/Table4[[#This Row],[nm11]])*10^7</f>
        <v>#DIV/0!</v>
      </c>
      <c r="AS185" s="28"/>
      <c r="AT185" s="28">
        <f>Table4[[#This Row],[Φ]]*100</f>
        <v>0</v>
      </c>
      <c r="AU185" s="28"/>
      <c r="AV185" s="28"/>
    </row>
    <row r="186" spans="3:48" x14ac:dyDescent="0.3">
      <c r="C186" s="27" t="e">
        <f>VLOOKUP(Table4[[#This Row],[Marker name]],BaseInfos_Table[#All],6,FALSE)</f>
        <v>#N/A</v>
      </c>
      <c r="G186" s="41" t="e">
        <f>(1*10^7)/Table4[[#This Row],[cm-1]]</f>
        <v>#DIV/0!</v>
      </c>
      <c r="I186" s="41" t="e">
        <f>(1*10^7)/Table4[[#This Row],[cm-2]]</f>
        <v>#DIV/0!</v>
      </c>
      <c r="K186" s="41" t="e">
        <f>(1*10^7)/Table4[[#This Row],[cm-3]]</f>
        <v>#DIV/0!</v>
      </c>
      <c r="R186" s="41" t="e">
        <f>(1*10^7)/Table4[[#This Row],[nm2]]</f>
        <v>#DIV/0!</v>
      </c>
      <c r="T186" s="41" t="e">
        <f>(1*10^7)/Table4[[#This Row],[nm12]]</f>
        <v>#DIV/0!</v>
      </c>
      <c r="Z186" s="28"/>
      <c r="AA186" s="28"/>
      <c r="AB186" s="28" t="e">
        <f>(1/Table4[[#This Row],[nm5]])*10^7</f>
        <v>#DIV/0!</v>
      </c>
      <c r="AC186" s="28"/>
      <c r="AD186" s="28" t="e">
        <f>(1/Table4[[#This Row],[nm8]])*10^7</f>
        <v>#DIV/0!</v>
      </c>
      <c r="AE186" s="28"/>
      <c r="AF186" s="28" t="e">
        <f>(1/Table4[[#This Row],[nm9]])*10^7</f>
        <v>#DIV/0!</v>
      </c>
      <c r="AG186" s="28"/>
      <c r="AH186" s="28"/>
      <c r="AI186" s="28" t="e">
        <f>(1/Table4[[#This Row],[nm4]])*10^7</f>
        <v>#DIV/0!</v>
      </c>
      <c r="AJ186" s="28"/>
      <c r="AK186" s="28" t="e">
        <f>(1/Table4[[#This Row],[nm14]])*10^7</f>
        <v>#DIV/0!</v>
      </c>
      <c r="AL186" s="28"/>
      <c r="AM186" s="28"/>
      <c r="AN186" s="28" t="e">
        <f>(1/Table4[[#This Row],[nm28]])*10^7</f>
        <v>#DIV/0!</v>
      </c>
      <c r="AO186" s="28"/>
      <c r="AP186" s="28" t="e">
        <f>(1/Table4[[#This Row],[nm10]])*10^7</f>
        <v>#DIV/0!</v>
      </c>
      <c r="AQ186" s="28"/>
      <c r="AR186" s="28" t="e">
        <f>(1/Table4[[#This Row],[nm11]])*10^7</f>
        <v>#DIV/0!</v>
      </c>
      <c r="AS186" s="28"/>
      <c r="AT186" s="28">
        <f>Table4[[#This Row],[Φ]]*100</f>
        <v>0</v>
      </c>
      <c r="AU186" s="28"/>
      <c r="AV186" s="28"/>
    </row>
    <row r="187" spans="3:48" x14ac:dyDescent="0.3">
      <c r="C187" s="27" t="e">
        <f>VLOOKUP(Table4[[#This Row],[Marker name]],BaseInfos_Table[#All],6,FALSE)</f>
        <v>#N/A</v>
      </c>
      <c r="G187" s="41" t="e">
        <f>(1*10^7)/Table4[[#This Row],[cm-1]]</f>
        <v>#DIV/0!</v>
      </c>
      <c r="I187" s="41" t="e">
        <f>(1*10^7)/Table4[[#This Row],[cm-2]]</f>
        <v>#DIV/0!</v>
      </c>
      <c r="K187" s="41" t="e">
        <f>(1*10^7)/Table4[[#This Row],[cm-3]]</f>
        <v>#DIV/0!</v>
      </c>
      <c r="R187" s="41" t="e">
        <f>(1*10^7)/Table4[[#This Row],[nm2]]</f>
        <v>#DIV/0!</v>
      </c>
      <c r="T187" s="41" t="e">
        <f>(1*10^7)/Table4[[#This Row],[nm12]]</f>
        <v>#DIV/0!</v>
      </c>
      <c r="Z187" s="28"/>
      <c r="AA187" s="28"/>
      <c r="AB187" s="28" t="e">
        <f>(1/Table4[[#This Row],[nm5]])*10^7</f>
        <v>#DIV/0!</v>
      </c>
      <c r="AC187" s="28"/>
      <c r="AD187" s="28" t="e">
        <f>(1/Table4[[#This Row],[nm8]])*10^7</f>
        <v>#DIV/0!</v>
      </c>
      <c r="AE187" s="28"/>
      <c r="AF187" s="28" t="e">
        <f>(1/Table4[[#This Row],[nm9]])*10^7</f>
        <v>#DIV/0!</v>
      </c>
      <c r="AG187" s="28"/>
      <c r="AH187" s="28"/>
      <c r="AI187" s="28" t="e">
        <f>(1/Table4[[#This Row],[nm4]])*10^7</f>
        <v>#DIV/0!</v>
      </c>
      <c r="AJ187" s="28"/>
      <c r="AK187" s="28" t="e">
        <f>(1/Table4[[#This Row],[nm14]])*10^7</f>
        <v>#DIV/0!</v>
      </c>
      <c r="AL187" s="28"/>
      <c r="AM187" s="28"/>
      <c r="AN187" s="28" t="e">
        <f>(1/Table4[[#This Row],[nm28]])*10^7</f>
        <v>#DIV/0!</v>
      </c>
      <c r="AO187" s="28"/>
      <c r="AP187" s="28" t="e">
        <f>(1/Table4[[#This Row],[nm10]])*10^7</f>
        <v>#DIV/0!</v>
      </c>
      <c r="AQ187" s="28"/>
      <c r="AR187" s="28" t="e">
        <f>(1/Table4[[#This Row],[nm11]])*10^7</f>
        <v>#DIV/0!</v>
      </c>
      <c r="AS187" s="28"/>
      <c r="AT187" s="28">
        <f>Table4[[#This Row],[Φ]]*100</f>
        <v>0</v>
      </c>
      <c r="AU187" s="28"/>
      <c r="AV187" s="28"/>
    </row>
    <row r="188" spans="3:48" x14ac:dyDescent="0.3">
      <c r="C188" s="27" t="e">
        <f>VLOOKUP(Table4[[#This Row],[Marker name]],BaseInfos_Table[#All],6,FALSE)</f>
        <v>#N/A</v>
      </c>
      <c r="G188" s="41" t="e">
        <f>(1*10^7)/Table4[[#This Row],[cm-1]]</f>
        <v>#DIV/0!</v>
      </c>
      <c r="I188" s="41" t="e">
        <f>(1*10^7)/Table4[[#This Row],[cm-2]]</f>
        <v>#DIV/0!</v>
      </c>
      <c r="K188" s="41" t="e">
        <f>(1*10^7)/Table4[[#This Row],[cm-3]]</f>
        <v>#DIV/0!</v>
      </c>
      <c r="R188" s="41" t="e">
        <f>(1*10^7)/Table4[[#This Row],[nm2]]</f>
        <v>#DIV/0!</v>
      </c>
      <c r="T188" s="41" t="e">
        <f>(1*10^7)/Table4[[#This Row],[nm12]]</f>
        <v>#DIV/0!</v>
      </c>
      <c r="Z188" s="28"/>
      <c r="AA188" s="28"/>
      <c r="AB188" s="28" t="e">
        <f>(1/Table4[[#This Row],[nm5]])*10^7</f>
        <v>#DIV/0!</v>
      </c>
      <c r="AC188" s="28"/>
      <c r="AD188" s="28" t="e">
        <f>(1/Table4[[#This Row],[nm8]])*10^7</f>
        <v>#DIV/0!</v>
      </c>
      <c r="AE188" s="28"/>
      <c r="AF188" s="28" t="e">
        <f>(1/Table4[[#This Row],[nm9]])*10^7</f>
        <v>#DIV/0!</v>
      </c>
      <c r="AG188" s="28"/>
      <c r="AH188" s="28"/>
      <c r="AI188" s="28" t="e">
        <f>(1/Table4[[#This Row],[nm4]])*10^7</f>
        <v>#DIV/0!</v>
      </c>
      <c r="AJ188" s="28"/>
      <c r="AK188" s="28" t="e">
        <f>(1/Table4[[#This Row],[nm14]])*10^7</f>
        <v>#DIV/0!</v>
      </c>
      <c r="AL188" s="28"/>
      <c r="AM188" s="28"/>
      <c r="AN188" s="28" t="e">
        <f>(1/Table4[[#This Row],[nm28]])*10^7</f>
        <v>#DIV/0!</v>
      </c>
      <c r="AO188" s="28"/>
      <c r="AP188" s="28" t="e">
        <f>(1/Table4[[#This Row],[nm10]])*10^7</f>
        <v>#DIV/0!</v>
      </c>
      <c r="AQ188" s="28"/>
      <c r="AR188" s="28" t="e">
        <f>(1/Table4[[#This Row],[nm11]])*10^7</f>
        <v>#DIV/0!</v>
      </c>
      <c r="AS188" s="28"/>
      <c r="AT188" s="28">
        <f>Table4[[#This Row],[Φ]]*100</f>
        <v>0</v>
      </c>
      <c r="AU188" s="28"/>
      <c r="AV188" s="28"/>
    </row>
    <row r="189" spans="3:48" x14ac:dyDescent="0.3">
      <c r="C189" s="27" t="e">
        <f>VLOOKUP(Table4[[#This Row],[Marker name]],BaseInfos_Table[#All],6,FALSE)</f>
        <v>#N/A</v>
      </c>
      <c r="G189" s="41" t="e">
        <f>(1*10^7)/Table4[[#This Row],[cm-1]]</f>
        <v>#DIV/0!</v>
      </c>
      <c r="I189" s="41" t="e">
        <f>(1*10^7)/Table4[[#This Row],[cm-2]]</f>
        <v>#DIV/0!</v>
      </c>
      <c r="K189" s="41" t="e">
        <f>(1*10^7)/Table4[[#This Row],[cm-3]]</f>
        <v>#DIV/0!</v>
      </c>
      <c r="R189" s="41" t="e">
        <f>(1*10^7)/Table4[[#This Row],[nm2]]</f>
        <v>#DIV/0!</v>
      </c>
      <c r="T189" s="41" t="e">
        <f>(1*10^7)/Table4[[#This Row],[nm12]]</f>
        <v>#DIV/0!</v>
      </c>
      <c r="Z189" s="28"/>
      <c r="AA189" s="28"/>
      <c r="AB189" s="28" t="e">
        <f>(1/Table4[[#This Row],[nm5]])*10^7</f>
        <v>#DIV/0!</v>
      </c>
      <c r="AC189" s="28"/>
      <c r="AD189" s="28" t="e">
        <f>(1/Table4[[#This Row],[nm8]])*10^7</f>
        <v>#DIV/0!</v>
      </c>
      <c r="AE189" s="28"/>
      <c r="AF189" s="28" t="e">
        <f>(1/Table4[[#This Row],[nm9]])*10^7</f>
        <v>#DIV/0!</v>
      </c>
      <c r="AG189" s="28"/>
      <c r="AH189" s="28"/>
      <c r="AI189" s="28" t="e">
        <f>(1/Table4[[#This Row],[nm4]])*10^7</f>
        <v>#DIV/0!</v>
      </c>
      <c r="AJ189" s="28"/>
      <c r="AK189" s="28" t="e">
        <f>(1/Table4[[#This Row],[nm14]])*10^7</f>
        <v>#DIV/0!</v>
      </c>
      <c r="AL189" s="28"/>
      <c r="AM189" s="28"/>
      <c r="AN189" s="28" t="e">
        <f>(1/Table4[[#This Row],[nm28]])*10^7</f>
        <v>#DIV/0!</v>
      </c>
      <c r="AO189" s="28"/>
      <c r="AP189" s="28" t="e">
        <f>(1/Table4[[#This Row],[nm10]])*10^7</f>
        <v>#DIV/0!</v>
      </c>
      <c r="AQ189" s="28"/>
      <c r="AR189" s="28" t="e">
        <f>(1/Table4[[#This Row],[nm11]])*10^7</f>
        <v>#DIV/0!</v>
      </c>
      <c r="AS189" s="28"/>
      <c r="AT189" s="28">
        <f>Table4[[#This Row],[Φ]]*100</f>
        <v>0</v>
      </c>
      <c r="AU189" s="28"/>
      <c r="AV189" s="28"/>
    </row>
    <row r="190" spans="3:48" x14ac:dyDescent="0.3">
      <c r="C190" s="27" t="e">
        <f>VLOOKUP(Table4[[#This Row],[Marker name]],BaseInfos_Table[#All],6,FALSE)</f>
        <v>#N/A</v>
      </c>
      <c r="G190" s="41" t="e">
        <f>(1*10^7)/Table4[[#This Row],[cm-1]]</f>
        <v>#DIV/0!</v>
      </c>
      <c r="I190" s="41" t="e">
        <f>(1*10^7)/Table4[[#This Row],[cm-2]]</f>
        <v>#DIV/0!</v>
      </c>
      <c r="K190" s="41" t="e">
        <f>(1*10^7)/Table4[[#This Row],[cm-3]]</f>
        <v>#DIV/0!</v>
      </c>
      <c r="R190" s="41" t="e">
        <f>(1*10^7)/Table4[[#This Row],[nm2]]</f>
        <v>#DIV/0!</v>
      </c>
      <c r="T190" s="41" t="e">
        <f>(1*10^7)/Table4[[#This Row],[nm12]]</f>
        <v>#DIV/0!</v>
      </c>
      <c r="Z190" s="28"/>
      <c r="AA190" s="28"/>
      <c r="AB190" s="28" t="e">
        <f>(1/Table4[[#This Row],[nm5]])*10^7</f>
        <v>#DIV/0!</v>
      </c>
      <c r="AC190" s="28"/>
      <c r="AD190" s="28" t="e">
        <f>(1/Table4[[#This Row],[nm8]])*10^7</f>
        <v>#DIV/0!</v>
      </c>
      <c r="AE190" s="28"/>
      <c r="AF190" s="28" t="e">
        <f>(1/Table4[[#This Row],[nm9]])*10^7</f>
        <v>#DIV/0!</v>
      </c>
      <c r="AG190" s="28"/>
      <c r="AH190" s="28"/>
      <c r="AI190" s="28" t="e">
        <f>(1/Table4[[#This Row],[nm4]])*10^7</f>
        <v>#DIV/0!</v>
      </c>
      <c r="AJ190" s="28"/>
      <c r="AK190" s="28" t="e">
        <f>(1/Table4[[#This Row],[nm14]])*10^7</f>
        <v>#DIV/0!</v>
      </c>
      <c r="AL190" s="28"/>
      <c r="AM190" s="28"/>
      <c r="AN190" s="28" t="e">
        <f>(1/Table4[[#This Row],[nm28]])*10^7</f>
        <v>#DIV/0!</v>
      </c>
      <c r="AO190" s="28"/>
      <c r="AP190" s="28" t="e">
        <f>(1/Table4[[#This Row],[nm10]])*10^7</f>
        <v>#DIV/0!</v>
      </c>
      <c r="AQ190" s="28"/>
      <c r="AR190" s="28" t="e">
        <f>(1/Table4[[#This Row],[nm11]])*10^7</f>
        <v>#DIV/0!</v>
      </c>
      <c r="AS190" s="28"/>
      <c r="AT190" s="28">
        <f>Table4[[#This Row],[Φ]]*100</f>
        <v>0</v>
      </c>
      <c r="AU190" s="28"/>
      <c r="AV190" s="28"/>
    </row>
    <row r="191" spans="3:48" x14ac:dyDescent="0.3">
      <c r="C191" s="27" t="e">
        <f>VLOOKUP(Table4[[#This Row],[Marker name]],BaseInfos_Table[#All],6,FALSE)</f>
        <v>#N/A</v>
      </c>
      <c r="G191" s="41" t="e">
        <f>(1*10^7)/Table4[[#This Row],[cm-1]]</f>
        <v>#DIV/0!</v>
      </c>
      <c r="I191" s="41" t="e">
        <f>(1*10^7)/Table4[[#This Row],[cm-2]]</f>
        <v>#DIV/0!</v>
      </c>
      <c r="K191" s="41" t="e">
        <f>(1*10^7)/Table4[[#This Row],[cm-3]]</f>
        <v>#DIV/0!</v>
      </c>
      <c r="R191" s="41" t="e">
        <f>(1*10^7)/Table4[[#This Row],[nm2]]</f>
        <v>#DIV/0!</v>
      </c>
      <c r="T191" s="41" t="e">
        <f>(1*10^7)/Table4[[#This Row],[nm12]]</f>
        <v>#DIV/0!</v>
      </c>
      <c r="Z191" s="28"/>
      <c r="AA191" s="28"/>
      <c r="AB191" s="28" t="e">
        <f>(1/Table4[[#This Row],[nm5]])*10^7</f>
        <v>#DIV/0!</v>
      </c>
      <c r="AC191" s="28"/>
      <c r="AD191" s="28" t="e">
        <f>(1/Table4[[#This Row],[nm8]])*10^7</f>
        <v>#DIV/0!</v>
      </c>
      <c r="AE191" s="28"/>
      <c r="AF191" s="28" t="e">
        <f>(1/Table4[[#This Row],[nm9]])*10^7</f>
        <v>#DIV/0!</v>
      </c>
      <c r="AG191" s="28"/>
      <c r="AH191" s="28"/>
      <c r="AI191" s="28" t="e">
        <f>(1/Table4[[#This Row],[nm4]])*10^7</f>
        <v>#DIV/0!</v>
      </c>
      <c r="AJ191" s="28"/>
      <c r="AK191" s="28" t="e">
        <f>(1/Table4[[#This Row],[nm14]])*10^7</f>
        <v>#DIV/0!</v>
      </c>
      <c r="AL191" s="28"/>
      <c r="AM191" s="28"/>
      <c r="AN191" s="28" t="e">
        <f>(1/Table4[[#This Row],[nm28]])*10^7</f>
        <v>#DIV/0!</v>
      </c>
      <c r="AO191" s="28"/>
      <c r="AP191" s="28" t="e">
        <f>(1/Table4[[#This Row],[nm10]])*10^7</f>
        <v>#DIV/0!</v>
      </c>
      <c r="AQ191" s="28"/>
      <c r="AR191" s="28" t="e">
        <f>(1/Table4[[#This Row],[nm11]])*10^7</f>
        <v>#DIV/0!</v>
      </c>
      <c r="AS191" s="28"/>
      <c r="AT191" s="28">
        <f>Table4[[#This Row],[Φ]]*100</f>
        <v>0</v>
      </c>
      <c r="AU191" s="28"/>
      <c r="AV191" s="28"/>
    </row>
    <row r="192" spans="3:48" x14ac:dyDescent="0.3">
      <c r="C192" s="27" t="e">
        <f>VLOOKUP(Table4[[#This Row],[Marker name]],BaseInfos_Table[#All],6,FALSE)</f>
        <v>#N/A</v>
      </c>
      <c r="G192" s="41" t="e">
        <f>(1*10^7)/Table4[[#This Row],[cm-1]]</f>
        <v>#DIV/0!</v>
      </c>
      <c r="I192" s="41" t="e">
        <f>(1*10^7)/Table4[[#This Row],[cm-2]]</f>
        <v>#DIV/0!</v>
      </c>
      <c r="K192" s="41" t="e">
        <f>(1*10^7)/Table4[[#This Row],[cm-3]]</f>
        <v>#DIV/0!</v>
      </c>
      <c r="R192" s="41" t="e">
        <f>(1*10^7)/Table4[[#This Row],[nm2]]</f>
        <v>#DIV/0!</v>
      </c>
      <c r="T192" s="41" t="e">
        <f>(1*10^7)/Table4[[#This Row],[nm12]]</f>
        <v>#DIV/0!</v>
      </c>
      <c r="Z192" s="28"/>
      <c r="AA192" s="28"/>
      <c r="AB192" s="28" t="e">
        <f>(1/Table4[[#This Row],[nm5]])*10^7</f>
        <v>#DIV/0!</v>
      </c>
      <c r="AC192" s="28"/>
      <c r="AD192" s="28" t="e">
        <f>(1/Table4[[#This Row],[nm8]])*10^7</f>
        <v>#DIV/0!</v>
      </c>
      <c r="AE192" s="28"/>
      <c r="AF192" s="28" t="e">
        <f>(1/Table4[[#This Row],[nm9]])*10^7</f>
        <v>#DIV/0!</v>
      </c>
      <c r="AG192" s="28"/>
      <c r="AH192" s="28"/>
      <c r="AI192" s="28" t="e">
        <f>(1/Table4[[#This Row],[nm4]])*10^7</f>
        <v>#DIV/0!</v>
      </c>
      <c r="AJ192" s="28"/>
      <c r="AK192" s="28" t="e">
        <f>(1/Table4[[#This Row],[nm14]])*10^7</f>
        <v>#DIV/0!</v>
      </c>
      <c r="AL192" s="28"/>
      <c r="AM192" s="28"/>
      <c r="AN192" s="28" t="e">
        <f>(1/Table4[[#This Row],[nm28]])*10^7</f>
        <v>#DIV/0!</v>
      </c>
      <c r="AO192" s="28"/>
      <c r="AP192" s="28" t="e">
        <f>(1/Table4[[#This Row],[nm10]])*10^7</f>
        <v>#DIV/0!</v>
      </c>
      <c r="AQ192" s="28"/>
      <c r="AR192" s="28" t="e">
        <f>(1/Table4[[#This Row],[nm11]])*10^7</f>
        <v>#DIV/0!</v>
      </c>
      <c r="AS192" s="28"/>
      <c r="AT192" s="28">
        <f>Table4[[#This Row],[Φ]]*100</f>
        <v>0</v>
      </c>
      <c r="AU192" s="28"/>
      <c r="AV192" s="28"/>
    </row>
    <row r="193" spans="3:48" x14ac:dyDescent="0.3">
      <c r="C193" s="27" t="e">
        <f>VLOOKUP(Table4[[#This Row],[Marker name]],BaseInfos_Table[#All],6,FALSE)</f>
        <v>#N/A</v>
      </c>
      <c r="G193" s="41" t="e">
        <f>(1*10^7)/Table4[[#This Row],[cm-1]]</f>
        <v>#DIV/0!</v>
      </c>
      <c r="I193" s="41" t="e">
        <f>(1*10^7)/Table4[[#This Row],[cm-2]]</f>
        <v>#DIV/0!</v>
      </c>
      <c r="K193" s="41" t="e">
        <f>(1*10^7)/Table4[[#This Row],[cm-3]]</f>
        <v>#DIV/0!</v>
      </c>
      <c r="R193" s="41" t="e">
        <f>(1*10^7)/Table4[[#This Row],[nm2]]</f>
        <v>#DIV/0!</v>
      </c>
      <c r="T193" s="41" t="e">
        <f>(1*10^7)/Table4[[#This Row],[nm12]]</f>
        <v>#DIV/0!</v>
      </c>
      <c r="Z193" s="28"/>
      <c r="AA193" s="28"/>
      <c r="AB193" s="28" t="e">
        <f>(1/Table4[[#This Row],[nm5]])*10^7</f>
        <v>#DIV/0!</v>
      </c>
      <c r="AC193" s="28"/>
      <c r="AD193" s="28" t="e">
        <f>(1/Table4[[#This Row],[nm8]])*10^7</f>
        <v>#DIV/0!</v>
      </c>
      <c r="AE193" s="28"/>
      <c r="AF193" s="28" t="e">
        <f>(1/Table4[[#This Row],[nm9]])*10^7</f>
        <v>#DIV/0!</v>
      </c>
      <c r="AG193" s="28"/>
      <c r="AH193" s="28"/>
      <c r="AI193" s="28" t="e">
        <f>(1/Table4[[#This Row],[nm4]])*10^7</f>
        <v>#DIV/0!</v>
      </c>
      <c r="AJ193" s="28"/>
      <c r="AK193" s="28" t="e">
        <f>(1/Table4[[#This Row],[nm14]])*10^7</f>
        <v>#DIV/0!</v>
      </c>
      <c r="AL193" s="28"/>
      <c r="AM193" s="28"/>
      <c r="AN193" s="28" t="e">
        <f>(1/Table4[[#This Row],[nm28]])*10^7</f>
        <v>#DIV/0!</v>
      </c>
      <c r="AO193" s="28"/>
      <c r="AP193" s="28" t="e">
        <f>(1/Table4[[#This Row],[nm10]])*10^7</f>
        <v>#DIV/0!</v>
      </c>
      <c r="AQ193" s="28"/>
      <c r="AR193" s="28" t="e">
        <f>(1/Table4[[#This Row],[nm11]])*10^7</f>
        <v>#DIV/0!</v>
      </c>
      <c r="AS193" s="28"/>
      <c r="AT193" s="28">
        <f>Table4[[#This Row],[Φ]]*100</f>
        <v>0</v>
      </c>
      <c r="AU193" s="28"/>
      <c r="AV193" s="28"/>
    </row>
    <row r="194" spans="3:48" x14ac:dyDescent="0.3">
      <c r="C194" s="27" t="e">
        <f>VLOOKUP(Table4[[#This Row],[Marker name]],BaseInfos_Table[#All],6,FALSE)</f>
        <v>#N/A</v>
      </c>
      <c r="G194" s="41" t="e">
        <f>(1*10^7)/Table4[[#This Row],[cm-1]]</f>
        <v>#DIV/0!</v>
      </c>
      <c r="I194" s="41" t="e">
        <f>(1*10^7)/Table4[[#This Row],[cm-2]]</f>
        <v>#DIV/0!</v>
      </c>
      <c r="K194" s="41" t="e">
        <f>(1*10^7)/Table4[[#This Row],[cm-3]]</f>
        <v>#DIV/0!</v>
      </c>
      <c r="R194" s="41" t="e">
        <f>(1*10^7)/Table4[[#This Row],[nm2]]</f>
        <v>#DIV/0!</v>
      </c>
      <c r="T194" s="41" t="e">
        <f>(1*10^7)/Table4[[#This Row],[nm12]]</f>
        <v>#DIV/0!</v>
      </c>
      <c r="Z194" s="28"/>
      <c r="AA194" s="28"/>
      <c r="AB194" s="28" t="e">
        <f>(1/Table4[[#This Row],[nm5]])*10^7</f>
        <v>#DIV/0!</v>
      </c>
      <c r="AC194" s="28"/>
      <c r="AD194" s="28" t="e">
        <f>(1/Table4[[#This Row],[nm8]])*10^7</f>
        <v>#DIV/0!</v>
      </c>
      <c r="AE194" s="28"/>
      <c r="AF194" s="28" t="e">
        <f>(1/Table4[[#This Row],[nm9]])*10^7</f>
        <v>#DIV/0!</v>
      </c>
      <c r="AG194" s="28"/>
      <c r="AH194" s="28"/>
      <c r="AI194" s="28" t="e">
        <f>(1/Table4[[#This Row],[nm4]])*10^7</f>
        <v>#DIV/0!</v>
      </c>
      <c r="AJ194" s="28"/>
      <c r="AK194" s="28" t="e">
        <f>(1/Table4[[#This Row],[nm14]])*10^7</f>
        <v>#DIV/0!</v>
      </c>
      <c r="AL194" s="28"/>
      <c r="AM194" s="28"/>
      <c r="AN194" s="28" t="e">
        <f>(1/Table4[[#This Row],[nm28]])*10^7</f>
        <v>#DIV/0!</v>
      </c>
      <c r="AO194" s="28"/>
      <c r="AP194" s="28" t="e">
        <f>(1/Table4[[#This Row],[nm10]])*10^7</f>
        <v>#DIV/0!</v>
      </c>
      <c r="AQ194" s="28"/>
      <c r="AR194" s="28" t="e">
        <f>(1/Table4[[#This Row],[nm11]])*10^7</f>
        <v>#DIV/0!</v>
      </c>
      <c r="AS194" s="28"/>
      <c r="AT194" s="28">
        <f>Table4[[#This Row],[Φ]]*100</f>
        <v>0</v>
      </c>
      <c r="AU194" s="28"/>
      <c r="AV194" s="28"/>
    </row>
    <row r="195" spans="3:48" x14ac:dyDescent="0.3">
      <c r="C195" s="27" t="e">
        <f>VLOOKUP(Table4[[#This Row],[Marker name]],BaseInfos_Table[#All],6,FALSE)</f>
        <v>#N/A</v>
      </c>
      <c r="G195" s="41" t="e">
        <f>(1*10^7)/Table4[[#This Row],[cm-1]]</f>
        <v>#DIV/0!</v>
      </c>
      <c r="I195" s="41" t="e">
        <f>(1*10^7)/Table4[[#This Row],[cm-2]]</f>
        <v>#DIV/0!</v>
      </c>
      <c r="K195" s="41" t="e">
        <f>(1*10^7)/Table4[[#This Row],[cm-3]]</f>
        <v>#DIV/0!</v>
      </c>
      <c r="R195" s="41" t="e">
        <f>(1*10^7)/Table4[[#This Row],[nm2]]</f>
        <v>#DIV/0!</v>
      </c>
      <c r="T195" s="41" t="e">
        <f>(1*10^7)/Table4[[#This Row],[nm12]]</f>
        <v>#DIV/0!</v>
      </c>
      <c r="Z195" s="28"/>
      <c r="AA195" s="28"/>
      <c r="AB195" s="28" t="e">
        <f>(1/Table4[[#This Row],[nm5]])*10^7</f>
        <v>#DIV/0!</v>
      </c>
      <c r="AC195" s="28"/>
      <c r="AD195" s="28" t="e">
        <f>(1/Table4[[#This Row],[nm8]])*10^7</f>
        <v>#DIV/0!</v>
      </c>
      <c r="AE195" s="28"/>
      <c r="AF195" s="28" t="e">
        <f>(1/Table4[[#This Row],[nm9]])*10^7</f>
        <v>#DIV/0!</v>
      </c>
      <c r="AG195" s="28"/>
      <c r="AH195" s="28"/>
      <c r="AI195" s="28" t="e">
        <f>(1/Table4[[#This Row],[nm4]])*10^7</f>
        <v>#DIV/0!</v>
      </c>
      <c r="AJ195" s="28"/>
      <c r="AK195" s="28" t="e">
        <f>(1/Table4[[#This Row],[nm14]])*10^7</f>
        <v>#DIV/0!</v>
      </c>
      <c r="AL195" s="28"/>
      <c r="AM195" s="28"/>
      <c r="AN195" s="28" t="e">
        <f>(1/Table4[[#This Row],[nm28]])*10^7</f>
        <v>#DIV/0!</v>
      </c>
      <c r="AO195" s="28"/>
      <c r="AP195" s="28" t="e">
        <f>(1/Table4[[#This Row],[nm10]])*10^7</f>
        <v>#DIV/0!</v>
      </c>
      <c r="AQ195" s="28"/>
      <c r="AR195" s="28" t="e">
        <f>(1/Table4[[#This Row],[nm11]])*10^7</f>
        <v>#DIV/0!</v>
      </c>
      <c r="AS195" s="28"/>
      <c r="AT195" s="28">
        <f>Table4[[#This Row],[Φ]]*100</f>
        <v>0</v>
      </c>
      <c r="AU195" s="28"/>
      <c r="AV195" s="28"/>
    </row>
    <row r="196" spans="3:48" x14ac:dyDescent="0.3">
      <c r="C196" s="27" t="e">
        <f>VLOOKUP(Table4[[#This Row],[Marker name]],BaseInfos_Table[#All],6,FALSE)</f>
        <v>#N/A</v>
      </c>
      <c r="G196" s="41" t="e">
        <f>(1*10^7)/Table4[[#This Row],[cm-1]]</f>
        <v>#DIV/0!</v>
      </c>
      <c r="I196" s="41" t="e">
        <f>(1*10^7)/Table4[[#This Row],[cm-2]]</f>
        <v>#DIV/0!</v>
      </c>
      <c r="K196" s="41" t="e">
        <f>(1*10^7)/Table4[[#This Row],[cm-3]]</f>
        <v>#DIV/0!</v>
      </c>
      <c r="R196" s="41" t="e">
        <f>(1*10^7)/Table4[[#This Row],[nm2]]</f>
        <v>#DIV/0!</v>
      </c>
      <c r="T196" s="41" t="e">
        <f>(1*10^7)/Table4[[#This Row],[nm12]]</f>
        <v>#DIV/0!</v>
      </c>
      <c r="Z196" s="28"/>
      <c r="AA196" s="28"/>
      <c r="AB196" s="28" t="e">
        <f>(1/Table4[[#This Row],[nm5]])*10^7</f>
        <v>#DIV/0!</v>
      </c>
      <c r="AC196" s="28"/>
      <c r="AD196" s="28" t="e">
        <f>(1/Table4[[#This Row],[nm8]])*10^7</f>
        <v>#DIV/0!</v>
      </c>
      <c r="AE196" s="28"/>
      <c r="AF196" s="28" t="e">
        <f>(1/Table4[[#This Row],[nm9]])*10^7</f>
        <v>#DIV/0!</v>
      </c>
      <c r="AG196" s="28"/>
      <c r="AH196" s="28"/>
      <c r="AI196" s="28" t="e">
        <f>(1/Table4[[#This Row],[nm4]])*10^7</f>
        <v>#DIV/0!</v>
      </c>
      <c r="AJ196" s="28"/>
      <c r="AK196" s="28" t="e">
        <f>(1/Table4[[#This Row],[nm14]])*10^7</f>
        <v>#DIV/0!</v>
      </c>
      <c r="AL196" s="28"/>
      <c r="AM196" s="28"/>
      <c r="AN196" s="28" t="e">
        <f>(1/Table4[[#This Row],[nm28]])*10^7</f>
        <v>#DIV/0!</v>
      </c>
      <c r="AO196" s="28"/>
      <c r="AP196" s="28" t="e">
        <f>(1/Table4[[#This Row],[nm10]])*10^7</f>
        <v>#DIV/0!</v>
      </c>
      <c r="AQ196" s="28"/>
      <c r="AR196" s="28" t="e">
        <f>(1/Table4[[#This Row],[nm11]])*10^7</f>
        <v>#DIV/0!</v>
      </c>
      <c r="AS196" s="28"/>
      <c r="AT196" s="28">
        <f>Table4[[#This Row],[Φ]]*100</f>
        <v>0</v>
      </c>
      <c r="AU196" s="28"/>
      <c r="AV196" s="28"/>
    </row>
    <row r="197" spans="3:48" x14ac:dyDescent="0.3">
      <c r="C197" s="27" t="e">
        <f>VLOOKUP(Table4[[#This Row],[Marker name]],BaseInfos_Table[#All],6,FALSE)</f>
        <v>#N/A</v>
      </c>
      <c r="G197" s="41" t="e">
        <f>(1*10^7)/Table4[[#This Row],[cm-1]]</f>
        <v>#DIV/0!</v>
      </c>
      <c r="I197" s="41" t="e">
        <f>(1*10^7)/Table4[[#This Row],[cm-2]]</f>
        <v>#DIV/0!</v>
      </c>
      <c r="K197" s="41" t="e">
        <f>(1*10^7)/Table4[[#This Row],[cm-3]]</f>
        <v>#DIV/0!</v>
      </c>
      <c r="R197" s="41" t="e">
        <f>(1*10^7)/Table4[[#This Row],[nm2]]</f>
        <v>#DIV/0!</v>
      </c>
      <c r="T197" s="41" t="e">
        <f>(1*10^7)/Table4[[#This Row],[nm12]]</f>
        <v>#DIV/0!</v>
      </c>
      <c r="Z197" s="28"/>
      <c r="AA197" s="28"/>
      <c r="AB197" s="28" t="e">
        <f>(1/Table4[[#This Row],[nm5]])*10^7</f>
        <v>#DIV/0!</v>
      </c>
      <c r="AC197" s="28"/>
      <c r="AD197" s="28" t="e">
        <f>(1/Table4[[#This Row],[nm8]])*10^7</f>
        <v>#DIV/0!</v>
      </c>
      <c r="AE197" s="28"/>
      <c r="AF197" s="28" t="e">
        <f>(1/Table4[[#This Row],[nm9]])*10^7</f>
        <v>#DIV/0!</v>
      </c>
      <c r="AG197" s="28"/>
      <c r="AH197" s="28"/>
      <c r="AI197" s="28" t="e">
        <f>(1/Table4[[#This Row],[nm4]])*10^7</f>
        <v>#DIV/0!</v>
      </c>
      <c r="AJ197" s="28"/>
      <c r="AK197" s="28" t="e">
        <f>(1/Table4[[#This Row],[nm14]])*10^7</f>
        <v>#DIV/0!</v>
      </c>
      <c r="AL197" s="28"/>
      <c r="AM197" s="28"/>
      <c r="AN197" s="28" t="e">
        <f>(1/Table4[[#This Row],[nm28]])*10^7</f>
        <v>#DIV/0!</v>
      </c>
      <c r="AO197" s="28"/>
      <c r="AP197" s="28" t="e">
        <f>(1/Table4[[#This Row],[nm10]])*10^7</f>
        <v>#DIV/0!</v>
      </c>
      <c r="AQ197" s="28"/>
      <c r="AR197" s="28" t="e">
        <f>(1/Table4[[#This Row],[nm11]])*10^7</f>
        <v>#DIV/0!</v>
      </c>
      <c r="AS197" s="28"/>
      <c r="AT197" s="28">
        <f>Table4[[#This Row],[Φ]]*100</f>
        <v>0</v>
      </c>
      <c r="AU197" s="28"/>
      <c r="AV197" s="28"/>
    </row>
    <row r="198" spans="3:48" x14ac:dyDescent="0.3">
      <c r="C198" s="27" t="e">
        <f>VLOOKUP(Table4[[#This Row],[Marker name]],BaseInfos_Table[#All],6,FALSE)</f>
        <v>#N/A</v>
      </c>
      <c r="G198" s="41" t="e">
        <f>(1*10^7)/Table4[[#This Row],[cm-1]]</f>
        <v>#DIV/0!</v>
      </c>
      <c r="I198" s="41" t="e">
        <f>(1*10^7)/Table4[[#This Row],[cm-2]]</f>
        <v>#DIV/0!</v>
      </c>
      <c r="K198" s="41" t="e">
        <f>(1*10^7)/Table4[[#This Row],[cm-3]]</f>
        <v>#DIV/0!</v>
      </c>
      <c r="R198" s="41" t="e">
        <f>(1*10^7)/Table4[[#This Row],[nm2]]</f>
        <v>#DIV/0!</v>
      </c>
      <c r="T198" s="41" t="e">
        <f>(1*10^7)/Table4[[#This Row],[nm12]]</f>
        <v>#DIV/0!</v>
      </c>
      <c r="Z198" s="28"/>
      <c r="AA198" s="28"/>
      <c r="AB198" s="28" t="e">
        <f>(1/Table4[[#This Row],[nm5]])*10^7</f>
        <v>#DIV/0!</v>
      </c>
      <c r="AC198" s="28"/>
      <c r="AD198" s="28" t="e">
        <f>(1/Table4[[#This Row],[nm8]])*10^7</f>
        <v>#DIV/0!</v>
      </c>
      <c r="AE198" s="28"/>
      <c r="AF198" s="28" t="e">
        <f>(1/Table4[[#This Row],[nm9]])*10^7</f>
        <v>#DIV/0!</v>
      </c>
      <c r="AG198" s="28"/>
      <c r="AH198" s="28"/>
      <c r="AI198" s="28" t="e">
        <f>(1/Table4[[#This Row],[nm4]])*10^7</f>
        <v>#DIV/0!</v>
      </c>
      <c r="AJ198" s="28"/>
      <c r="AK198" s="28" t="e">
        <f>(1/Table4[[#This Row],[nm14]])*10^7</f>
        <v>#DIV/0!</v>
      </c>
      <c r="AL198" s="28"/>
      <c r="AM198" s="28"/>
      <c r="AN198" s="28" t="e">
        <f>(1/Table4[[#This Row],[nm28]])*10^7</f>
        <v>#DIV/0!</v>
      </c>
      <c r="AO198" s="28"/>
      <c r="AP198" s="28" t="e">
        <f>(1/Table4[[#This Row],[nm10]])*10^7</f>
        <v>#DIV/0!</v>
      </c>
      <c r="AQ198" s="28"/>
      <c r="AR198" s="28" t="e">
        <f>(1/Table4[[#This Row],[nm11]])*10^7</f>
        <v>#DIV/0!</v>
      </c>
      <c r="AS198" s="28"/>
      <c r="AT198" s="28">
        <f>Table4[[#This Row],[Φ]]*100</f>
        <v>0</v>
      </c>
      <c r="AU198" s="28"/>
      <c r="AV198" s="28"/>
    </row>
    <row r="199" spans="3:48" x14ac:dyDescent="0.3">
      <c r="C199" s="27" t="e">
        <f>VLOOKUP(Table4[[#This Row],[Marker name]],BaseInfos_Table[#All],6,FALSE)</f>
        <v>#N/A</v>
      </c>
      <c r="G199" s="41" t="e">
        <f>(1*10^7)/Table4[[#This Row],[cm-1]]</f>
        <v>#DIV/0!</v>
      </c>
      <c r="I199" s="41" t="e">
        <f>(1*10^7)/Table4[[#This Row],[cm-2]]</f>
        <v>#DIV/0!</v>
      </c>
      <c r="K199" s="41" t="e">
        <f>(1*10^7)/Table4[[#This Row],[cm-3]]</f>
        <v>#DIV/0!</v>
      </c>
      <c r="R199" s="41" t="e">
        <f>(1*10^7)/Table4[[#This Row],[nm2]]</f>
        <v>#DIV/0!</v>
      </c>
      <c r="T199" s="41" t="e">
        <f>(1*10^7)/Table4[[#This Row],[nm12]]</f>
        <v>#DIV/0!</v>
      </c>
      <c r="Z199" s="28"/>
      <c r="AA199" s="28"/>
      <c r="AB199" s="28" t="e">
        <f>(1/Table4[[#This Row],[nm5]])*10^7</f>
        <v>#DIV/0!</v>
      </c>
      <c r="AC199" s="28"/>
      <c r="AD199" s="28" t="e">
        <f>(1/Table4[[#This Row],[nm8]])*10^7</f>
        <v>#DIV/0!</v>
      </c>
      <c r="AE199" s="28"/>
      <c r="AF199" s="28" t="e">
        <f>(1/Table4[[#This Row],[nm9]])*10^7</f>
        <v>#DIV/0!</v>
      </c>
      <c r="AG199" s="28"/>
      <c r="AH199" s="28"/>
      <c r="AI199" s="28" t="e">
        <f>(1/Table4[[#This Row],[nm4]])*10^7</f>
        <v>#DIV/0!</v>
      </c>
      <c r="AJ199" s="28"/>
      <c r="AK199" s="28" t="e">
        <f>(1/Table4[[#This Row],[nm14]])*10^7</f>
        <v>#DIV/0!</v>
      </c>
      <c r="AL199" s="28"/>
      <c r="AM199" s="28"/>
      <c r="AN199" s="28" t="e">
        <f>(1/Table4[[#This Row],[nm28]])*10^7</f>
        <v>#DIV/0!</v>
      </c>
      <c r="AO199" s="28"/>
      <c r="AP199" s="28" t="e">
        <f>(1/Table4[[#This Row],[nm10]])*10^7</f>
        <v>#DIV/0!</v>
      </c>
      <c r="AQ199" s="28"/>
      <c r="AR199" s="28" t="e">
        <f>(1/Table4[[#This Row],[nm11]])*10^7</f>
        <v>#DIV/0!</v>
      </c>
      <c r="AS199" s="28"/>
      <c r="AT199" s="28">
        <f>Table4[[#This Row],[Φ]]*100</f>
        <v>0</v>
      </c>
      <c r="AU199" s="28"/>
      <c r="AV199" s="28"/>
    </row>
    <row r="200" spans="3:48" x14ac:dyDescent="0.3">
      <c r="C200" s="27" t="e">
        <f>VLOOKUP(Table4[[#This Row],[Marker name]],BaseInfos_Table[#All],6,FALSE)</f>
        <v>#N/A</v>
      </c>
      <c r="G200" s="41" t="e">
        <f>(1*10^7)/Table4[[#This Row],[cm-1]]</f>
        <v>#DIV/0!</v>
      </c>
      <c r="I200" s="41" t="e">
        <f>(1*10^7)/Table4[[#This Row],[cm-2]]</f>
        <v>#DIV/0!</v>
      </c>
      <c r="K200" s="41" t="e">
        <f>(1*10^7)/Table4[[#This Row],[cm-3]]</f>
        <v>#DIV/0!</v>
      </c>
      <c r="R200" s="41" t="e">
        <f>(1*10^7)/Table4[[#This Row],[nm2]]</f>
        <v>#DIV/0!</v>
      </c>
      <c r="T200" s="41" t="e">
        <f>(1*10^7)/Table4[[#This Row],[nm12]]</f>
        <v>#DIV/0!</v>
      </c>
      <c r="Z200" s="28"/>
      <c r="AA200" s="28"/>
      <c r="AB200" s="28" t="e">
        <f>(1/Table4[[#This Row],[nm5]])*10^7</f>
        <v>#DIV/0!</v>
      </c>
      <c r="AC200" s="28"/>
      <c r="AD200" s="28" t="e">
        <f>(1/Table4[[#This Row],[nm8]])*10^7</f>
        <v>#DIV/0!</v>
      </c>
      <c r="AE200" s="28"/>
      <c r="AF200" s="28" t="e">
        <f>(1/Table4[[#This Row],[nm9]])*10^7</f>
        <v>#DIV/0!</v>
      </c>
      <c r="AG200" s="28"/>
      <c r="AH200" s="28"/>
      <c r="AI200" s="28" t="e">
        <f>(1/Table4[[#This Row],[nm4]])*10^7</f>
        <v>#DIV/0!</v>
      </c>
      <c r="AJ200" s="28"/>
      <c r="AK200" s="28" t="e">
        <f>(1/Table4[[#This Row],[nm14]])*10^7</f>
        <v>#DIV/0!</v>
      </c>
      <c r="AL200" s="28"/>
      <c r="AM200" s="28"/>
      <c r="AN200" s="28" t="e">
        <f>(1/Table4[[#This Row],[nm28]])*10^7</f>
        <v>#DIV/0!</v>
      </c>
      <c r="AO200" s="28"/>
      <c r="AP200" s="28" t="e">
        <f>(1/Table4[[#This Row],[nm10]])*10^7</f>
        <v>#DIV/0!</v>
      </c>
      <c r="AQ200" s="28"/>
      <c r="AR200" s="28" t="e">
        <f>(1/Table4[[#This Row],[nm11]])*10^7</f>
        <v>#DIV/0!</v>
      </c>
      <c r="AS200" s="28"/>
      <c r="AT200" s="28">
        <f>Table4[[#This Row],[Φ]]*100</f>
        <v>0</v>
      </c>
      <c r="AU200" s="28"/>
      <c r="AV200" s="28"/>
    </row>
    <row r="201" spans="3:48" x14ac:dyDescent="0.3">
      <c r="C201" s="27" t="e">
        <f>VLOOKUP(Table4[[#This Row],[Marker name]],BaseInfos_Table[#All],6,FALSE)</f>
        <v>#N/A</v>
      </c>
      <c r="G201" s="41" t="e">
        <f>(1*10^7)/Table4[[#This Row],[cm-1]]</f>
        <v>#DIV/0!</v>
      </c>
      <c r="I201" s="41" t="e">
        <f>(1*10^7)/Table4[[#This Row],[cm-2]]</f>
        <v>#DIV/0!</v>
      </c>
      <c r="K201" s="41" t="e">
        <f>(1*10^7)/Table4[[#This Row],[cm-3]]</f>
        <v>#DIV/0!</v>
      </c>
      <c r="R201" s="41" t="e">
        <f>(1*10^7)/Table4[[#This Row],[nm2]]</f>
        <v>#DIV/0!</v>
      </c>
      <c r="T201" s="41" t="e">
        <f>(1*10^7)/Table4[[#This Row],[nm12]]</f>
        <v>#DIV/0!</v>
      </c>
      <c r="Z201" s="28"/>
      <c r="AA201" s="28"/>
      <c r="AB201" s="28" t="e">
        <f>(1/Table4[[#This Row],[nm5]])*10^7</f>
        <v>#DIV/0!</v>
      </c>
      <c r="AC201" s="28"/>
      <c r="AD201" s="28" t="e">
        <f>(1/Table4[[#This Row],[nm8]])*10^7</f>
        <v>#DIV/0!</v>
      </c>
      <c r="AE201" s="28"/>
      <c r="AF201" s="28" t="e">
        <f>(1/Table4[[#This Row],[nm9]])*10^7</f>
        <v>#DIV/0!</v>
      </c>
      <c r="AG201" s="28"/>
      <c r="AH201" s="28"/>
      <c r="AI201" s="28" t="e">
        <f>(1/Table4[[#This Row],[nm4]])*10^7</f>
        <v>#DIV/0!</v>
      </c>
      <c r="AJ201" s="28"/>
      <c r="AK201" s="28" t="e">
        <f>(1/Table4[[#This Row],[nm14]])*10^7</f>
        <v>#DIV/0!</v>
      </c>
      <c r="AL201" s="28"/>
      <c r="AM201" s="28"/>
      <c r="AN201" s="28" t="e">
        <f>(1/Table4[[#This Row],[nm28]])*10^7</f>
        <v>#DIV/0!</v>
      </c>
      <c r="AO201" s="28"/>
      <c r="AP201" s="28" t="e">
        <f>(1/Table4[[#This Row],[nm10]])*10^7</f>
        <v>#DIV/0!</v>
      </c>
      <c r="AQ201" s="28"/>
      <c r="AR201" s="28" t="e">
        <f>(1/Table4[[#This Row],[nm11]])*10^7</f>
        <v>#DIV/0!</v>
      </c>
      <c r="AS201" s="28"/>
      <c r="AT201" s="28">
        <f>Table4[[#This Row],[Φ]]*100</f>
        <v>0</v>
      </c>
      <c r="AU201" s="28"/>
      <c r="AV201" s="28"/>
    </row>
    <row r="202" spans="3:48" x14ac:dyDescent="0.3">
      <c r="C202" s="27" t="e">
        <f>VLOOKUP(Table4[[#This Row],[Marker name]],BaseInfos_Table[#All],6,FALSE)</f>
        <v>#N/A</v>
      </c>
      <c r="G202" s="41" t="e">
        <f>(1*10^7)/Table4[[#This Row],[cm-1]]</f>
        <v>#DIV/0!</v>
      </c>
      <c r="I202" s="41" t="e">
        <f>(1*10^7)/Table4[[#This Row],[cm-2]]</f>
        <v>#DIV/0!</v>
      </c>
      <c r="K202" s="41" t="e">
        <f>(1*10^7)/Table4[[#This Row],[cm-3]]</f>
        <v>#DIV/0!</v>
      </c>
      <c r="R202" s="41" t="e">
        <f>(1*10^7)/Table4[[#This Row],[nm2]]</f>
        <v>#DIV/0!</v>
      </c>
      <c r="T202" s="41" t="e">
        <f>(1*10^7)/Table4[[#This Row],[nm12]]</f>
        <v>#DIV/0!</v>
      </c>
      <c r="Z202" s="28"/>
      <c r="AA202" s="28"/>
      <c r="AB202" s="28" t="e">
        <f>(1/Table4[[#This Row],[nm5]])*10^7</f>
        <v>#DIV/0!</v>
      </c>
      <c r="AC202" s="28"/>
      <c r="AD202" s="28" t="e">
        <f>(1/Table4[[#This Row],[nm8]])*10^7</f>
        <v>#DIV/0!</v>
      </c>
      <c r="AE202" s="28"/>
      <c r="AF202" s="28" t="e">
        <f>(1/Table4[[#This Row],[nm9]])*10^7</f>
        <v>#DIV/0!</v>
      </c>
      <c r="AG202" s="28"/>
      <c r="AH202" s="28"/>
      <c r="AI202" s="28" t="e">
        <f>(1/Table4[[#This Row],[nm4]])*10^7</f>
        <v>#DIV/0!</v>
      </c>
      <c r="AJ202" s="28"/>
      <c r="AK202" s="28" t="e">
        <f>(1/Table4[[#This Row],[nm14]])*10^7</f>
        <v>#DIV/0!</v>
      </c>
      <c r="AL202" s="28"/>
      <c r="AM202" s="28"/>
      <c r="AN202" s="28" t="e">
        <f>(1/Table4[[#This Row],[nm28]])*10^7</f>
        <v>#DIV/0!</v>
      </c>
      <c r="AO202" s="28"/>
      <c r="AP202" s="28" t="e">
        <f>(1/Table4[[#This Row],[nm10]])*10^7</f>
        <v>#DIV/0!</v>
      </c>
      <c r="AQ202" s="28"/>
      <c r="AR202" s="28" t="e">
        <f>(1/Table4[[#This Row],[nm11]])*10^7</f>
        <v>#DIV/0!</v>
      </c>
      <c r="AS202" s="28"/>
      <c r="AT202" s="28">
        <f>Table4[[#This Row],[Φ]]*100</f>
        <v>0</v>
      </c>
      <c r="AU202" s="28"/>
      <c r="AV202" s="28"/>
    </row>
    <row r="203" spans="3:48" x14ac:dyDescent="0.3">
      <c r="C203" s="27" t="e">
        <f>VLOOKUP(Table4[[#This Row],[Marker name]],BaseInfos_Table[#All],6,FALSE)</f>
        <v>#N/A</v>
      </c>
      <c r="G203" s="41" t="e">
        <f>(1*10^7)/Table4[[#This Row],[cm-1]]</f>
        <v>#DIV/0!</v>
      </c>
      <c r="I203" s="41" t="e">
        <f>(1*10^7)/Table4[[#This Row],[cm-2]]</f>
        <v>#DIV/0!</v>
      </c>
      <c r="K203" s="41" t="e">
        <f>(1*10^7)/Table4[[#This Row],[cm-3]]</f>
        <v>#DIV/0!</v>
      </c>
      <c r="R203" s="41" t="e">
        <f>(1*10^7)/Table4[[#This Row],[nm2]]</f>
        <v>#DIV/0!</v>
      </c>
      <c r="T203" s="41" t="e">
        <f>(1*10^7)/Table4[[#This Row],[nm12]]</f>
        <v>#DIV/0!</v>
      </c>
      <c r="Z203" s="28"/>
      <c r="AA203" s="28"/>
      <c r="AB203" s="28" t="e">
        <f>(1/Table4[[#This Row],[nm5]])*10^7</f>
        <v>#DIV/0!</v>
      </c>
      <c r="AC203" s="28"/>
      <c r="AD203" s="28" t="e">
        <f>(1/Table4[[#This Row],[nm8]])*10^7</f>
        <v>#DIV/0!</v>
      </c>
      <c r="AE203" s="28"/>
      <c r="AF203" s="28" t="e">
        <f>(1/Table4[[#This Row],[nm9]])*10^7</f>
        <v>#DIV/0!</v>
      </c>
      <c r="AG203" s="28"/>
      <c r="AH203" s="28"/>
      <c r="AI203" s="28" t="e">
        <f>(1/Table4[[#This Row],[nm4]])*10^7</f>
        <v>#DIV/0!</v>
      </c>
      <c r="AJ203" s="28"/>
      <c r="AK203" s="28" t="e">
        <f>(1/Table4[[#This Row],[nm14]])*10^7</f>
        <v>#DIV/0!</v>
      </c>
      <c r="AL203" s="28"/>
      <c r="AM203" s="28"/>
      <c r="AN203" s="28" t="e">
        <f>(1/Table4[[#This Row],[nm28]])*10^7</f>
        <v>#DIV/0!</v>
      </c>
      <c r="AO203" s="28"/>
      <c r="AP203" s="28" t="e">
        <f>(1/Table4[[#This Row],[nm10]])*10^7</f>
        <v>#DIV/0!</v>
      </c>
      <c r="AQ203" s="28"/>
      <c r="AR203" s="28" t="e">
        <f>(1/Table4[[#This Row],[nm11]])*10^7</f>
        <v>#DIV/0!</v>
      </c>
      <c r="AS203" s="28"/>
      <c r="AT203" s="28">
        <f>Table4[[#This Row],[Φ]]*100</f>
        <v>0</v>
      </c>
      <c r="AU203" s="28"/>
      <c r="AV203" s="28"/>
    </row>
    <row r="204" spans="3:48" x14ac:dyDescent="0.3">
      <c r="C204" s="27" t="e">
        <f>VLOOKUP(Table4[[#This Row],[Marker name]],BaseInfos_Table[#All],6,FALSE)</f>
        <v>#N/A</v>
      </c>
      <c r="G204" s="41" t="e">
        <f>(1*10^7)/Table4[[#This Row],[cm-1]]</f>
        <v>#DIV/0!</v>
      </c>
      <c r="I204" s="41" t="e">
        <f>(1*10^7)/Table4[[#This Row],[cm-2]]</f>
        <v>#DIV/0!</v>
      </c>
      <c r="K204" s="41" t="e">
        <f>(1*10^7)/Table4[[#This Row],[cm-3]]</f>
        <v>#DIV/0!</v>
      </c>
      <c r="R204" s="41" t="e">
        <f>(1*10^7)/Table4[[#This Row],[nm2]]</f>
        <v>#DIV/0!</v>
      </c>
      <c r="T204" s="41" t="e">
        <f>(1*10^7)/Table4[[#This Row],[nm12]]</f>
        <v>#DIV/0!</v>
      </c>
      <c r="Z204" s="28"/>
      <c r="AA204" s="28"/>
      <c r="AB204" s="28" t="e">
        <f>(1/Table4[[#This Row],[nm5]])*10^7</f>
        <v>#DIV/0!</v>
      </c>
      <c r="AC204" s="28"/>
      <c r="AD204" s="28" t="e">
        <f>(1/Table4[[#This Row],[nm8]])*10^7</f>
        <v>#DIV/0!</v>
      </c>
      <c r="AE204" s="28"/>
      <c r="AF204" s="28" t="e">
        <f>(1/Table4[[#This Row],[nm9]])*10^7</f>
        <v>#DIV/0!</v>
      </c>
      <c r="AG204" s="28"/>
      <c r="AH204" s="28"/>
      <c r="AI204" s="28" t="e">
        <f>(1/Table4[[#This Row],[nm4]])*10^7</f>
        <v>#DIV/0!</v>
      </c>
      <c r="AJ204" s="28"/>
      <c r="AK204" s="28" t="e">
        <f>(1/Table4[[#This Row],[nm14]])*10^7</f>
        <v>#DIV/0!</v>
      </c>
      <c r="AL204" s="28"/>
      <c r="AM204" s="28"/>
      <c r="AN204" s="28" t="e">
        <f>(1/Table4[[#This Row],[nm28]])*10^7</f>
        <v>#DIV/0!</v>
      </c>
      <c r="AO204" s="28"/>
      <c r="AP204" s="28" t="e">
        <f>(1/Table4[[#This Row],[nm10]])*10^7</f>
        <v>#DIV/0!</v>
      </c>
      <c r="AQ204" s="28"/>
      <c r="AR204" s="28" t="e">
        <f>(1/Table4[[#This Row],[nm11]])*10^7</f>
        <v>#DIV/0!</v>
      </c>
      <c r="AS204" s="28"/>
      <c r="AT204" s="28">
        <f>Table4[[#This Row],[Φ]]*100</f>
        <v>0</v>
      </c>
      <c r="AU204" s="28"/>
      <c r="AV204" s="28"/>
    </row>
    <row r="205" spans="3:48" x14ac:dyDescent="0.3">
      <c r="C205" s="27" t="e">
        <f>VLOOKUP(Table4[[#This Row],[Marker name]],BaseInfos_Table[#All],6,FALSE)</f>
        <v>#N/A</v>
      </c>
      <c r="G205" s="41" t="e">
        <f>(1*10^7)/Table4[[#This Row],[cm-1]]</f>
        <v>#DIV/0!</v>
      </c>
      <c r="I205" s="41" t="e">
        <f>(1*10^7)/Table4[[#This Row],[cm-2]]</f>
        <v>#DIV/0!</v>
      </c>
      <c r="K205" s="41" t="e">
        <f>(1*10^7)/Table4[[#This Row],[cm-3]]</f>
        <v>#DIV/0!</v>
      </c>
      <c r="R205" s="41" t="e">
        <f>(1*10^7)/Table4[[#This Row],[nm2]]</f>
        <v>#DIV/0!</v>
      </c>
      <c r="T205" s="41" t="e">
        <f>(1*10^7)/Table4[[#This Row],[nm12]]</f>
        <v>#DIV/0!</v>
      </c>
      <c r="Z205" s="28"/>
      <c r="AA205" s="28"/>
      <c r="AB205" s="28" t="e">
        <f>(1/Table4[[#This Row],[nm5]])*10^7</f>
        <v>#DIV/0!</v>
      </c>
      <c r="AC205" s="28"/>
      <c r="AD205" s="28" t="e">
        <f>(1/Table4[[#This Row],[nm8]])*10^7</f>
        <v>#DIV/0!</v>
      </c>
      <c r="AE205" s="28"/>
      <c r="AF205" s="28" t="e">
        <f>(1/Table4[[#This Row],[nm9]])*10^7</f>
        <v>#DIV/0!</v>
      </c>
      <c r="AG205" s="28"/>
      <c r="AH205" s="28"/>
      <c r="AI205" s="28" t="e">
        <f>(1/Table4[[#This Row],[nm4]])*10^7</f>
        <v>#DIV/0!</v>
      </c>
      <c r="AJ205" s="28"/>
      <c r="AK205" s="28" t="e">
        <f>(1/Table4[[#This Row],[nm14]])*10^7</f>
        <v>#DIV/0!</v>
      </c>
      <c r="AL205" s="28"/>
      <c r="AM205" s="28"/>
      <c r="AN205" s="28" t="e">
        <f>(1/Table4[[#This Row],[nm28]])*10^7</f>
        <v>#DIV/0!</v>
      </c>
      <c r="AO205" s="28"/>
      <c r="AP205" s="28" t="e">
        <f>(1/Table4[[#This Row],[nm10]])*10^7</f>
        <v>#DIV/0!</v>
      </c>
      <c r="AQ205" s="28"/>
      <c r="AR205" s="28" t="e">
        <f>(1/Table4[[#This Row],[nm11]])*10^7</f>
        <v>#DIV/0!</v>
      </c>
      <c r="AS205" s="28"/>
      <c r="AT205" s="28">
        <f>Table4[[#This Row],[Φ]]*100</f>
        <v>0</v>
      </c>
      <c r="AU205" s="28"/>
      <c r="AV205" s="28"/>
    </row>
    <row r="206" spans="3:48" x14ac:dyDescent="0.3">
      <c r="C206" s="27" t="e">
        <f>VLOOKUP(Table4[[#This Row],[Marker name]],BaseInfos_Table[#All],6,FALSE)</f>
        <v>#N/A</v>
      </c>
      <c r="G206" s="41" t="e">
        <f>(1*10^7)/Table4[[#This Row],[cm-1]]</f>
        <v>#DIV/0!</v>
      </c>
      <c r="I206" s="41" t="e">
        <f>(1*10^7)/Table4[[#This Row],[cm-2]]</f>
        <v>#DIV/0!</v>
      </c>
      <c r="K206" s="41" t="e">
        <f>(1*10^7)/Table4[[#This Row],[cm-3]]</f>
        <v>#DIV/0!</v>
      </c>
      <c r="R206" s="41" t="e">
        <f>(1*10^7)/Table4[[#This Row],[nm2]]</f>
        <v>#DIV/0!</v>
      </c>
      <c r="T206" s="41" t="e">
        <f>(1*10^7)/Table4[[#This Row],[nm12]]</f>
        <v>#DIV/0!</v>
      </c>
      <c r="Z206" s="28"/>
      <c r="AA206" s="28"/>
      <c r="AB206" s="28" t="e">
        <f>(1/Table4[[#This Row],[nm5]])*10^7</f>
        <v>#DIV/0!</v>
      </c>
      <c r="AC206" s="28"/>
      <c r="AD206" s="28" t="e">
        <f>(1/Table4[[#This Row],[nm8]])*10^7</f>
        <v>#DIV/0!</v>
      </c>
      <c r="AE206" s="28"/>
      <c r="AF206" s="28" t="e">
        <f>(1/Table4[[#This Row],[nm9]])*10^7</f>
        <v>#DIV/0!</v>
      </c>
      <c r="AG206" s="28"/>
      <c r="AH206" s="28"/>
      <c r="AI206" s="28" t="e">
        <f>(1/Table4[[#This Row],[nm4]])*10^7</f>
        <v>#DIV/0!</v>
      </c>
      <c r="AJ206" s="28"/>
      <c r="AK206" s="28" t="e">
        <f>(1/Table4[[#This Row],[nm14]])*10^7</f>
        <v>#DIV/0!</v>
      </c>
      <c r="AL206" s="28"/>
      <c r="AM206" s="28"/>
      <c r="AN206" s="28" t="e">
        <f>(1/Table4[[#This Row],[nm28]])*10^7</f>
        <v>#DIV/0!</v>
      </c>
      <c r="AO206" s="28"/>
      <c r="AP206" s="28" t="e">
        <f>(1/Table4[[#This Row],[nm10]])*10^7</f>
        <v>#DIV/0!</v>
      </c>
      <c r="AQ206" s="28"/>
      <c r="AR206" s="28" t="e">
        <f>(1/Table4[[#This Row],[nm11]])*10^7</f>
        <v>#DIV/0!</v>
      </c>
      <c r="AS206" s="28"/>
      <c r="AT206" s="28">
        <f>Table4[[#This Row],[Φ]]*100</f>
        <v>0</v>
      </c>
      <c r="AU206" s="28"/>
      <c r="AV206" s="28"/>
    </row>
    <row r="207" spans="3:48" x14ac:dyDescent="0.3">
      <c r="C207" s="27" t="e">
        <f>VLOOKUP(Table4[[#This Row],[Marker name]],BaseInfos_Table[#All],6,FALSE)</f>
        <v>#N/A</v>
      </c>
      <c r="G207" s="41" t="e">
        <f>(1*10^7)/Table4[[#This Row],[cm-1]]</f>
        <v>#DIV/0!</v>
      </c>
      <c r="I207" s="41" t="e">
        <f>(1*10^7)/Table4[[#This Row],[cm-2]]</f>
        <v>#DIV/0!</v>
      </c>
      <c r="K207" s="41" t="e">
        <f>(1*10^7)/Table4[[#This Row],[cm-3]]</f>
        <v>#DIV/0!</v>
      </c>
      <c r="R207" s="41" t="e">
        <f>(1*10^7)/Table4[[#This Row],[nm2]]</f>
        <v>#DIV/0!</v>
      </c>
      <c r="T207" s="41" t="e">
        <f>(1*10^7)/Table4[[#This Row],[nm12]]</f>
        <v>#DIV/0!</v>
      </c>
      <c r="Z207" s="28"/>
      <c r="AA207" s="28"/>
      <c r="AB207" s="28" t="e">
        <f>(1/Table4[[#This Row],[nm5]])*10^7</f>
        <v>#DIV/0!</v>
      </c>
      <c r="AC207" s="28"/>
      <c r="AD207" s="28" t="e">
        <f>(1/Table4[[#This Row],[nm8]])*10^7</f>
        <v>#DIV/0!</v>
      </c>
      <c r="AE207" s="28"/>
      <c r="AF207" s="28" t="e">
        <f>(1/Table4[[#This Row],[nm9]])*10^7</f>
        <v>#DIV/0!</v>
      </c>
      <c r="AG207" s="28"/>
      <c r="AH207" s="28"/>
      <c r="AI207" s="28" t="e">
        <f>(1/Table4[[#This Row],[nm4]])*10^7</f>
        <v>#DIV/0!</v>
      </c>
      <c r="AJ207" s="28"/>
      <c r="AK207" s="28" t="e">
        <f>(1/Table4[[#This Row],[nm14]])*10^7</f>
        <v>#DIV/0!</v>
      </c>
      <c r="AL207" s="28"/>
      <c r="AM207" s="28"/>
      <c r="AN207" s="28" t="e">
        <f>(1/Table4[[#This Row],[nm28]])*10^7</f>
        <v>#DIV/0!</v>
      </c>
      <c r="AO207" s="28"/>
      <c r="AP207" s="28" t="e">
        <f>(1/Table4[[#This Row],[nm10]])*10^7</f>
        <v>#DIV/0!</v>
      </c>
      <c r="AQ207" s="28"/>
      <c r="AR207" s="28" t="e">
        <f>(1/Table4[[#This Row],[nm11]])*10^7</f>
        <v>#DIV/0!</v>
      </c>
      <c r="AS207" s="28"/>
      <c r="AT207" s="28">
        <f>Table4[[#This Row],[Φ]]*100</f>
        <v>0</v>
      </c>
      <c r="AU207" s="28"/>
      <c r="AV207" s="28"/>
    </row>
    <row r="208" spans="3:48" x14ac:dyDescent="0.3">
      <c r="C208" s="27" t="e">
        <f>VLOOKUP(Table4[[#This Row],[Marker name]],BaseInfos_Table[#All],6,FALSE)</f>
        <v>#N/A</v>
      </c>
      <c r="G208" s="41" t="e">
        <f>(1*10^7)/Table4[[#This Row],[cm-1]]</f>
        <v>#DIV/0!</v>
      </c>
      <c r="I208" s="41" t="e">
        <f>(1*10^7)/Table4[[#This Row],[cm-2]]</f>
        <v>#DIV/0!</v>
      </c>
      <c r="K208" s="41" t="e">
        <f>(1*10^7)/Table4[[#This Row],[cm-3]]</f>
        <v>#DIV/0!</v>
      </c>
      <c r="R208" s="41" t="e">
        <f>(1*10^7)/Table4[[#This Row],[nm2]]</f>
        <v>#DIV/0!</v>
      </c>
      <c r="T208" s="41" t="e">
        <f>(1*10^7)/Table4[[#This Row],[nm12]]</f>
        <v>#DIV/0!</v>
      </c>
      <c r="Z208" s="28"/>
      <c r="AA208" s="28"/>
      <c r="AB208" s="28" t="e">
        <f>(1/Table4[[#This Row],[nm5]])*10^7</f>
        <v>#DIV/0!</v>
      </c>
      <c r="AC208" s="28"/>
      <c r="AD208" s="28" t="e">
        <f>(1/Table4[[#This Row],[nm8]])*10^7</f>
        <v>#DIV/0!</v>
      </c>
      <c r="AE208" s="28"/>
      <c r="AF208" s="28" t="e">
        <f>(1/Table4[[#This Row],[nm9]])*10^7</f>
        <v>#DIV/0!</v>
      </c>
      <c r="AG208" s="28"/>
      <c r="AH208" s="28"/>
      <c r="AI208" s="28" t="e">
        <f>(1/Table4[[#This Row],[nm4]])*10^7</f>
        <v>#DIV/0!</v>
      </c>
      <c r="AJ208" s="28"/>
      <c r="AK208" s="28" t="e">
        <f>(1/Table4[[#This Row],[nm14]])*10^7</f>
        <v>#DIV/0!</v>
      </c>
      <c r="AL208" s="28"/>
      <c r="AM208" s="28"/>
      <c r="AN208" s="28" t="e">
        <f>(1/Table4[[#This Row],[nm28]])*10^7</f>
        <v>#DIV/0!</v>
      </c>
      <c r="AO208" s="28"/>
      <c r="AP208" s="28" t="e">
        <f>(1/Table4[[#This Row],[nm10]])*10^7</f>
        <v>#DIV/0!</v>
      </c>
      <c r="AQ208" s="28"/>
      <c r="AR208" s="28" t="e">
        <f>(1/Table4[[#This Row],[nm11]])*10^7</f>
        <v>#DIV/0!</v>
      </c>
      <c r="AS208" s="28"/>
      <c r="AT208" s="28">
        <f>Table4[[#This Row],[Φ]]*100</f>
        <v>0</v>
      </c>
      <c r="AU208" s="28"/>
      <c r="AV208" s="28"/>
    </row>
    <row r="209" spans="3:48" x14ac:dyDescent="0.3">
      <c r="C209" s="27" t="e">
        <f>VLOOKUP(Table4[[#This Row],[Marker name]],BaseInfos_Table[#All],6,FALSE)</f>
        <v>#N/A</v>
      </c>
      <c r="G209" s="41" t="e">
        <f>(1*10^7)/Table4[[#This Row],[cm-1]]</f>
        <v>#DIV/0!</v>
      </c>
      <c r="I209" s="41" t="e">
        <f>(1*10^7)/Table4[[#This Row],[cm-2]]</f>
        <v>#DIV/0!</v>
      </c>
      <c r="K209" s="41" t="e">
        <f>(1*10^7)/Table4[[#This Row],[cm-3]]</f>
        <v>#DIV/0!</v>
      </c>
      <c r="R209" s="41" t="e">
        <f>(1*10^7)/Table4[[#This Row],[nm2]]</f>
        <v>#DIV/0!</v>
      </c>
      <c r="T209" s="41" t="e">
        <f>(1*10^7)/Table4[[#This Row],[nm12]]</f>
        <v>#DIV/0!</v>
      </c>
      <c r="Z209" s="28"/>
      <c r="AA209" s="28"/>
      <c r="AB209" s="28" t="e">
        <f>(1/Table4[[#This Row],[nm5]])*10^7</f>
        <v>#DIV/0!</v>
      </c>
      <c r="AC209" s="28"/>
      <c r="AD209" s="28" t="e">
        <f>(1/Table4[[#This Row],[nm8]])*10^7</f>
        <v>#DIV/0!</v>
      </c>
      <c r="AE209" s="28"/>
      <c r="AF209" s="28" t="e">
        <f>(1/Table4[[#This Row],[nm9]])*10^7</f>
        <v>#DIV/0!</v>
      </c>
      <c r="AG209" s="28"/>
      <c r="AH209" s="28"/>
      <c r="AI209" s="28" t="e">
        <f>(1/Table4[[#This Row],[nm4]])*10^7</f>
        <v>#DIV/0!</v>
      </c>
      <c r="AJ209" s="28"/>
      <c r="AK209" s="28" t="e">
        <f>(1/Table4[[#This Row],[nm14]])*10^7</f>
        <v>#DIV/0!</v>
      </c>
      <c r="AL209" s="28"/>
      <c r="AM209" s="28"/>
      <c r="AN209" s="28" t="e">
        <f>(1/Table4[[#This Row],[nm28]])*10^7</f>
        <v>#DIV/0!</v>
      </c>
      <c r="AO209" s="28"/>
      <c r="AP209" s="28" t="e">
        <f>(1/Table4[[#This Row],[nm10]])*10^7</f>
        <v>#DIV/0!</v>
      </c>
      <c r="AQ209" s="28"/>
      <c r="AR209" s="28" t="e">
        <f>(1/Table4[[#This Row],[nm11]])*10^7</f>
        <v>#DIV/0!</v>
      </c>
      <c r="AS209" s="28"/>
      <c r="AT209" s="28">
        <f>Table4[[#This Row],[Φ]]*100</f>
        <v>0</v>
      </c>
      <c r="AU209" s="28"/>
      <c r="AV209" s="28"/>
    </row>
    <row r="210" spans="3:48" x14ac:dyDescent="0.3">
      <c r="C210" s="27" t="e">
        <f>VLOOKUP(Table4[[#This Row],[Marker name]],BaseInfos_Table[#All],6,FALSE)</f>
        <v>#N/A</v>
      </c>
      <c r="G210" s="41" t="e">
        <f>(1*10^7)/Table4[[#This Row],[cm-1]]</f>
        <v>#DIV/0!</v>
      </c>
      <c r="I210" s="41" t="e">
        <f>(1*10^7)/Table4[[#This Row],[cm-2]]</f>
        <v>#DIV/0!</v>
      </c>
      <c r="K210" s="41" t="e">
        <f>(1*10^7)/Table4[[#This Row],[cm-3]]</f>
        <v>#DIV/0!</v>
      </c>
      <c r="R210" s="41" t="e">
        <f>(1*10^7)/Table4[[#This Row],[nm2]]</f>
        <v>#DIV/0!</v>
      </c>
      <c r="T210" s="41" t="e">
        <f>(1*10^7)/Table4[[#This Row],[nm12]]</f>
        <v>#DIV/0!</v>
      </c>
      <c r="Z210" s="28"/>
      <c r="AA210" s="28"/>
      <c r="AB210" s="28" t="e">
        <f>(1/Table4[[#This Row],[nm5]])*10^7</f>
        <v>#DIV/0!</v>
      </c>
      <c r="AC210" s="28"/>
      <c r="AD210" s="28" t="e">
        <f>(1/Table4[[#This Row],[nm8]])*10^7</f>
        <v>#DIV/0!</v>
      </c>
      <c r="AE210" s="28"/>
      <c r="AF210" s="28" t="e">
        <f>(1/Table4[[#This Row],[nm9]])*10^7</f>
        <v>#DIV/0!</v>
      </c>
      <c r="AG210" s="28"/>
      <c r="AH210" s="28"/>
      <c r="AI210" s="28" t="e">
        <f>(1/Table4[[#This Row],[nm4]])*10^7</f>
        <v>#DIV/0!</v>
      </c>
      <c r="AJ210" s="28"/>
      <c r="AK210" s="28" t="e">
        <f>(1/Table4[[#This Row],[nm14]])*10^7</f>
        <v>#DIV/0!</v>
      </c>
      <c r="AL210" s="28"/>
      <c r="AM210" s="28"/>
      <c r="AN210" s="28" t="e">
        <f>(1/Table4[[#This Row],[nm28]])*10^7</f>
        <v>#DIV/0!</v>
      </c>
      <c r="AO210" s="28"/>
      <c r="AP210" s="28" t="e">
        <f>(1/Table4[[#This Row],[nm10]])*10^7</f>
        <v>#DIV/0!</v>
      </c>
      <c r="AQ210" s="28"/>
      <c r="AR210" s="28" t="e">
        <f>(1/Table4[[#This Row],[nm11]])*10^7</f>
        <v>#DIV/0!</v>
      </c>
      <c r="AS210" s="28"/>
      <c r="AT210" s="28">
        <f>Table4[[#This Row],[Φ]]*100</f>
        <v>0</v>
      </c>
      <c r="AU210" s="28"/>
      <c r="AV210" s="28"/>
    </row>
    <row r="211" spans="3:48" x14ac:dyDescent="0.3">
      <c r="C211" s="27" t="e">
        <f>VLOOKUP(Table4[[#This Row],[Marker name]],BaseInfos_Table[#All],6,FALSE)</f>
        <v>#N/A</v>
      </c>
      <c r="G211" s="41" t="e">
        <f>(1*10^7)/Table4[[#This Row],[cm-1]]</f>
        <v>#DIV/0!</v>
      </c>
      <c r="I211" s="41" t="e">
        <f>(1*10^7)/Table4[[#This Row],[cm-2]]</f>
        <v>#DIV/0!</v>
      </c>
      <c r="K211" s="41" t="e">
        <f>(1*10^7)/Table4[[#This Row],[cm-3]]</f>
        <v>#DIV/0!</v>
      </c>
      <c r="R211" s="41" t="e">
        <f>(1*10^7)/Table4[[#This Row],[nm2]]</f>
        <v>#DIV/0!</v>
      </c>
      <c r="T211" s="41" t="e">
        <f>(1*10^7)/Table4[[#This Row],[nm12]]</f>
        <v>#DIV/0!</v>
      </c>
      <c r="Z211" s="28"/>
      <c r="AA211" s="28"/>
      <c r="AB211" s="28" t="e">
        <f>(1/Table4[[#This Row],[nm5]])*10^7</f>
        <v>#DIV/0!</v>
      </c>
      <c r="AC211" s="28"/>
      <c r="AD211" s="28" t="e">
        <f>(1/Table4[[#This Row],[nm8]])*10^7</f>
        <v>#DIV/0!</v>
      </c>
      <c r="AE211" s="28"/>
      <c r="AF211" s="28" t="e">
        <f>(1/Table4[[#This Row],[nm9]])*10^7</f>
        <v>#DIV/0!</v>
      </c>
      <c r="AG211" s="28"/>
      <c r="AH211" s="28"/>
      <c r="AI211" s="28" t="e">
        <f>(1/Table4[[#This Row],[nm4]])*10^7</f>
        <v>#DIV/0!</v>
      </c>
      <c r="AJ211" s="28"/>
      <c r="AK211" s="28" t="e">
        <f>(1/Table4[[#This Row],[nm14]])*10^7</f>
        <v>#DIV/0!</v>
      </c>
      <c r="AL211" s="28"/>
      <c r="AM211" s="28"/>
      <c r="AN211" s="28" t="e">
        <f>(1/Table4[[#This Row],[nm28]])*10^7</f>
        <v>#DIV/0!</v>
      </c>
      <c r="AO211" s="28"/>
      <c r="AP211" s="28" t="e">
        <f>(1/Table4[[#This Row],[nm10]])*10^7</f>
        <v>#DIV/0!</v>
      </c>
      <c r="AQ211" s="28"/>
      <c r="AR211" s="28" t="e">
        <f>(1/Table4[[#This Row],[nm11]])*10^7</f>
        <v>#DIV/0!</v>
      </c>
      <c r="AS211" s="28"/>
      <c r="AT211" s="28">
        <f>Table4[[#This Row],[Φ]]*100</f>
        <v>0</v>
      </c>
      <c r="AU211" s="28"/>
      <c r="AV211" s="28"/>
    </row>
    <row r="212" spans="3:48" x14ac:dyDescent="0.3">
      <c r="C212" s="27" t="e">
        <f>VLOOKUP(Table4[[#This Row],[Marker name]],BaseInfos_Table[#All],6,FALSE)</f>
        <v>#N/A</v>
      </c>
      <c r="G212" s="41" t="e">
        <f>(1*10^7)/Table4[[#This Row],[cm-1]]</f>
        <v>#DIV/0!</v>
      </c>
      <c r="I212" s="41" t="e">
        <f>(1*10^7)/Table4[[#This Row],[cm-2]]</f>
        <v>#DIV/0!</v>
      </c>
      <c r="K212" s="41" t="e">
        <f>(1*10^7)/Table4[[#This Row],[cm-3]]</f>
        <v>#DIV/0!</v>
      </c>
      <c r="R212" s="41" t="e">
        <f>(1*10^7)/Table4[[#This Row],[nm2]]</f>
        <v>#DIV/0!</v>
      </c>
      <c r="T212" s="41" t="e">
        <f>(1*10^7)/Table4[[#This Row],[nm12]]</f>
        <v>#DIV/0!</v>
      </c>
      <c r="Z212" s="28"/>
      <c r="AA212" s="28"/>
      <c r="AB212" s="28" t="e">
        <f>(1/Table4[[#This Row],[nm5]])*10^7</f>
        <v>#DIV/0!</v>
      </c>
      <c r="AC212" s="28"/>
      <c r="AD212" s="28" t="e">
        <f>(1/Table4[[#This Row],[nm8]])*10^7</f>
        <v>#DIV/0!</v>
      </c>
      <c r="AE212" s="28"/>
      <c r="AF212" s="28" t="e">
        <f>(1/Table4[[#This Row],[nm9]])*10^7</f>
        <v>#DIV/0!</v>
      </c>
      <c r="AG212" s="28"/>
      <c r="AH212" s="28"/>
      <c r="AI212" s="28" t="e">
        <f>(1/Table4[[#This Row],[nm4]])*10^7</f>
        <v>#DIV/0!</v>
      </c>
      <c r="AJ212" s="28"/>
      <c r="AK212" s="28" t="e">
        <f>(1/Table4[[#This Row],[nm14]])*10^7</f>
        <v>#DIV/0!</v>
      </c>
      <c r="AL212" s="28"/>
      <c r="AM212" s="28"/>
      <c r="AN212" s="28" t="e">
        <f>(1/Table4[[#This Row],[nm28]])*10^7</f>
        <v>#DIV/0!</v>
      </c>
      <c r="AO212" s="28"/>
      <c r="AP212" s="28" t="e">
        <f>(1/Table4[[#This Row],[nm10]])*10^7</f>
        <v>#DIV/0!</v>
      </c>
      <c r="AQ212" s="28"/>
      <c r="AR212" s="28" t="e">
        <f>(1/Table4[[#This Row],[nm11]])*10^7</f>
        <v>#DIV/0!</v>
      </c>
      <c r="AS212" s="28"/>
      <c r="AT212" s="28">
        <f>Table4[[#This Row],[Φ]]*100</f>
        <v>0</v>
      </c>
      <c r="AU212" s="28"/>
      <c r="AV212" s="28"/>
    </row>
    <row r="213" spans="3:48" x14ac:dyDescent="0.3">
      <c r="C213" s="27" t="e">
        <f>VLOOKUP(Table4[[#This Row],[Marker name]],BaseInfos_Table[#All],6,FALSE)</f>
        <v>#N/A</v>
      </c>
      <c r="G213" s="41" t="e">
        <f>(1*10^7)/Table4[[#This Row],[cm-1]]</f>
        <v>#DIV/0!</v>
      </c>
      <c r="I213" s="41" t="e">
        <f>(1*10^7)/Table4[[#This Row],[cm-2]]</f>
        <v>#DIV/0!</v>
      </c>
      <c r="K213" s="41" t="e">
        <f>(1*10^7)/Table4[[#This Row],[cm-3]]</f>
        <v>#DIV/0!</v>
      </c>
      <c r="R213" s="41" t="e">
        <f>(1*10^7)/Table4[[#This Row],[nm2]]</f>
        <v>#DIV/0!</v>
      </c>
      <c r="T213" s="41" t="e">
        <f>(1*10^7)/Table4[[#This Row],[nm12]]</f>
        <v>#DIV/0!</v>
      </c>
      <c r="Z213" s="28"/>
      <c r="AA213" s="28"/>
      <c r="AB213" s="28" t="e">
        <f>(1/Table4[[#This Row],[nm5]])*10^7</f>
        <v>#DIV/0!</v>
      </c>
      <c r="AC213" s="28"/>
      <c r="AD213" s="28" t="e">
        <f>(1/Table4[[#This Row],[nm8]])*10^7</f>
        <v>#DIV/0!</v>
      </c>
      <c r="AE213" s="28"/>
      <c r="AF213" s="28" t="e">
        <f>(1/Table4[[#This Row],[nm9]])*10^7</f>
        <v>#DIV/0!</v>
      </c>
      <c r="AG213" s="28"/>
      <c r="AH213" s="28"/>
      <c r="AI213" s="28" t="e">
        <f>(1/Table4[[#This Row],[nm4]])*10^7</f>
        <v>#DIV/0!</v>
      </c>
      <c r="AJ213" s="28"/>
      <c r="AK213" s="28" t="e">
        <f>(1/Table4[[#This Row],[nm14]])*10^7</f>
        <v>#DIV/0!</v>
      </c>
      <c r="AL213" s="28"/>
      <c r="AM213" s="28"/>
      <c r="AN213" s="28" t="e">
        <f>(1/Table4[[#This Row],[nm28]])*10^7</f>
        <v>#DIV/0!</v>
      </c>
      <c r="AO213" s="28"/>
      <c r="AP213" s="28" t="e">
        <f>(1/Table4[[#This Row],[nm10]])*10^7</f>
        <v>#DIV/0!</v>
      </c>
      <c r="AQ213" s="28"/>
      <c r="AR213" s="28" t="e">
        <f>(1/Table4[[#This Row],[nm11]])*10^7</f>
        <v>#DIV/0!</v>
      </c>
      <c r="AS213" s="28"/>
      <c r="AT213" s="28">
        <f>Table4[[#This Row],[Φ]]*100</f>
        <v>0</v>
      </c>
      <c r="AU213" s="28"/>
      <c r="AV213" s="28"/>
    </row>
    <row r="214" spans="3:48" x14ac:dyDescent="0.3">
      <c r="C214" s="27" t="e">
        <f>VLOOKUP(Table4[[#This Row],[Marker name]],BaseInfos_Table[#All],6,FALSE)</f>
        <v>#N/A</v>
      </c>
      <c r="G214" s="41" t="e">
        <f>(1*10^7)/Table4[[#This Row],[cm-1]]</f>
        <v>#DIV/0!</v>
      </c>
      <c r="I214" s="41" t="e">
        <f>(1*10^7)/Table4[[#This Row],[cm-2]]</f>
        <v>#DIV/0!</v>
      </c>
      <c r="K214" s="41" t="e">
        <f>(1*10^7)/Table4[[#This Row],[cm-3]]</f>
        <v>#DIV/0!</v>
      </c>
      <c r="R214" s="41" t="e">
        <f>(1*10^7)/Table4[[#This Row],[nm2]]</f>
        <v>#DIV/0!</v>
      </c>
      <c r="T214" s="41" t="e">
        <f>(1*10^7)/Table4[[#This Row],[nm12]]</f>
        <v>#DIV/0!</v>
      </c>
      <c r="Z214" s="28"/>
      <c r="AA214" s="28"/>
      <c r="AB214" s="28" t="e">
        <f>(1/Table4[[#This Row],[nm5]])*10^7</f>
        <v>#DIV/0!</v>
      </c>
      <c r="AC214" s="28"/>
      <c r="AD214" s="28" t="e">
        <f>(1/Table4[[#This Row],[nm8]])*10^7</f>
        <v>#DIV/0!</v>
      </c>
      <c r="AE214" s="28"/>
      <c r="AF214" s="28" t="e">
        <f>(1/Table4[[#This Row],[nm9]])*10^7</f>
        <v>#DIV/0!</v>
      </c>
      <c r="AG214" s="28"/>
      <c r="AH214" s="28"/>
      <c r="AI214" s="28" t="e">
        <f>(1/Table4[[#This Row],[nm4]])*10^7</f>
        <v>#DIV/0!</v>
      </c>
      <c r="AJ214" s="28"/>
      <c r="AK214" s="28" t="e">
        <f>(1/Table4[[#This Row],[nm14]])*10^7</f>
        <v>#DIV/0!</v>
      </c>
      <c r="AL214" s="28"/>
      <c r="AM214" s="28"/>
      <c r="AN214" s="28" t="e">
        <f>(1/Table4[[#This Row],[nm28]])*10^7</f>
        <v>#DIV/0!</v>
      </c>
      <c r="AO214" s="28"/>
      <c r="AP214" s="28" t="e">
        <f>(1/Table4[[#This Row],[nm10]])*10^7</f>
        <v>#DIV/0!</v>
      </c>
      <c r="AQ214" s="28"/>
      <c r="AR214" s="28" t="e">
        <f>(1/Table4[[#This Row],[nm11]])*10^7</f>
        <v>#DIV/0!</v>
      </c>
      <c r="AS214" s="28"/>
      <c r="AT214" s="28">
        <f>Table4[[#This Row],[Φ]]*100</f>
        <v>0</v>
      </c>
      <c r="AU214" s="28"/>
      <c r="AV214" s="28"/>
    </row>
    <row r="215" spans="3:48" x14ac:dyDescent="0.3">
      <c r="C215" s="27" t="e">
        <f>VLOOKUP(Table4[[#This Row],[Marker name]],BaseInfos_Table[#All],6,FALSE)</f>
        <v>#N/A</v>
      </c>
      <c r="G215" s="41" t="e">
        <f>(1*10^7)/Table4[[#This Row],[cm-1]]</f>
        <v>#DIV/0!</v>
      </c>
      <c r="I215" s="41" t="e">
        <f>(1*10^7)/Table4[[#This Row],[cm-2]]</f>
        <v>#DIV/0!</v>
      </c>
      <c r="K215" s="41" t="e">
        <f>(1*10^7)/Table4[[#This Row],[cm-3]]</f>
        <v>#DIV/0!</v>
      </c>
      <c r="R215" s="41" t="e">
        <f>(1*10^7)/Table4[[#This Row],[nm2]]</f>
        <v>#DIV/0!</v>
      </c>
      <c r="T215" s="41" t="e">
        <f>(1*10^7)/Table4[[#This Row],[nm12]]</f>
        <v>#DIV/0!</v>
      </c>
      <c r="Z215" s="28"/>
      <c r="AA215" s="28"/>
      <c r="AB215" s="28" t="e">
        <f>(1/Table4[[#This Row],[nm5]])*10^7</f>
        <v>#DIV/0!</v>
      </c>
      <c r="AC215" s="28"/>
      <c r="AD215" s="28" t="e">
        <f>(1/Table4[[#This Row],[nm8]])*10^7</f>
        <v>#DIV/0!</v>
      </c>
      <c r="AE215" s="28"/>
      <c r="AF215" s="28" t="e">
        <f>(1/Table4[[#This Row],[nm9]])*10^7</f>
        <v>#DIV/0!</v>
      </c>
      <c r="AG215" s="28"/>
      <c r="AH215" s="28"/>
      <c r="AI215" s="28" t="e">
        <f>(1/Table4[[#This Row],[nm4]])*10^7</f>
        <v>#DIV/0!</v>
      </c>
      <c r="AJ215" s="28"/>
      <c r="AK215" s="28" t="e">
        <f>(1/Table4[[#This Row],[nm14]])*10^7</f>
        <v>#DIV/0!</v>
      </c>
      <c r="AL215" s="28"/>
      <c r="AM215" s="28"/>
      <c r="AN215" s="28" t="e">
        <f>(1/Table4[[#This Row],[nm28]])*10^7</f>
        <v>#DIV/0!</v>
      </c>
      <c r="AO215" s="28"/>
      <c r="AP215" s="28" t="e">
        <f>(1/Table4[[#This Row],[nm10]])*10^7</f>
        <v>#DIV/0!</v>
      </c>
      <c r="AQ215" s="28"/>
      <c r="AR215" s="28" t="e">
        <f>(1/Table4[[#This Row],[nm11]])*10^7</f>
        <v>#DIV/0!</v>
      </c>
      <c r="AS215" s="28"/>
      <c r="AT215" s="28">
        <f>Table4[[#This Row],[Φ]]*100</f>
        <v>0</v>
      </c>
      <c r="AU215" s="28"/>
      <c r="AV215" s="28"/>
    </row>
    <row r="216" spans="3:48" x14ac:dyDescent="0.3">
      <c r="C216" s="27" t="e">
        <f>VLOOKUP(Table4[[#This Row],[Marker name]],BaseInfos_Table[#All],6,FALSE)</f>
        <v>#N/A</v>
      </c>
      <c r="G216" s="41" t="e">
        <f>(1*10^7)/Table4[[#This Row],[cm-1]]</f>
        <v>#DIV/0!</v>
      </c>
      <c r="I216" s="41" t="e">
        <f>(1*10^7)/Table4[[#This Row],[cm-2]]</f>
        <v>#DIV/0!</v>
      </c>
      <c r="K216" s="41" t="e">
        <f>(1*10^7)/Table4[[#This Row],[cm-3]]</f>
        <v>#DIV/0!</v>
      </c>
      <c r="R216" s="41" t="e">
        <f>(1*10^7)/Table4[[#This Row],[nm2]]</f>
        <v>#DIV/0!</v>
      </c>
      <c r="T216" s="41" t="e">
        <f>(1*10^7)/Table4[[#This Row],[nm12]]</f>
        <v>#DIV/0!</v>
      </c>
      <c r="Z216" s="28"/>
      <c r="AA216" s="28"/>
      <c r="AB216" s="28" t="e">
        <f>(1/Table4[[#This Row],[nm5]])*10^7</f>
        <v>#DIV/0!</v>
      </c>
      <c r="AC216" s="28"/>
      <c r="AD216" s="28" t="e">
        <f>(1/Table4[[#This Row],[nm8]])*10^7</f>
        <v>#DIV/0!</v>
      </c>
      <c r="AE216" s="28"/>
      <c r="AF216" s="28" t="e">
        <f>(1/Table4[[#This Row],[nm9]])*10^7</f>
        <v>#DIV/0!</v>
      </c>
      <c r="AG216" s="28"/>
      <c r="AH216" s="28"/>
      <c r="AI216" s="28" t="e">
        <f>(1/Table4[[#This Row],[nm4]])*10^7</f>
        <v>#DIV/0!</v>
      </c>
      <c r="AJ216" s="28"/>
      <c r="AK216" s="28" t="e">
        <f>(1/Table4[[#This Row],[nm14]])*10^7</f>
        <v>#DIV/0!</v>
      </c>
      <c r="AL216" s="28"/>
      <c r="AM216" s="28"/>
      <c r="AN216" s="28" t="e">
        <f>(1/Table4[[#This Row],[nm28]])*10^7</f>
        <v>#DIV/0!</v>
      </c>
      <c r="AO216" s="28"/>
      <c r="AP216" s="28" t="e">
        <f>(1/Table4[[#This Row],[nm10]])*10^7</f>
        <v>#DIV/0!</v>
      </c>
      <c r="AQ216" s="28"/>
      <c r="AR216" s="28" t="e">
        <f>(1/Table4[[#This Row],[nm11]])*10^7</f>
        <v>#DIV/0!</v>
      </c>
      <c r="AS216" s="28"/>
      <c r="AT216" s="28">
        <f>Table4[[#This Row],[Φ]]*100</f>
        <v>0</v>
      </c>
      <c r="AU216" s="28"/>
      <c r="AV216" s="28"/>
    </row>
    <row r="217" spans="3:48" x14ac:dyDescent="0.3">
      <c r="C217" s="27" t="e">
        <f>VLOOKUP(Table4[[#This Row],[Marker name]],BaseInfos_Table[#All],6,FALSE)</f>
        <v>#N/A</v>
      </c>
      <c r="G217" s="41" t="e">
        <f>(1*10^7)/Table4[[#This Row],[cm-1]]</f>
        <v>#DIV/0!</v>
      </c>
      <c r="I217" s="41" t="e">
        <f>(1*10^7)/Table4[[#This Row],[cm-2]]</f>
        <v>#DIV/0!</v>
      </c>
      <c r="K217" s="41" t="e">
        <f>(1*10^7)/Table4[[#This Row],[cm-3]]</f>
        <v>#DIV/0!</v>
      </c>
      <c r="R217" s="41" t="e">
        <f>(1*10^7)/Table4[[#This Row],[nm2]]</f>
        <v>#DIV/0!</v>
      </c>
      <c r="T217" s="41" t="e">
        <f>(1*10^7)/Table4[[#This Row],[nm12]]</f>
        <v>#DIV/0!</v>
      </c>
      <c r="Z217" s="28"/>
      <c r="AA217" s="28"/>
      <c r="AB217" s="28" t="e">
        <f>(1/Table4[[#This Row],[nm5]])*10^7</f>
        <v>#DIV/0!</v>
      </c>
      <c r="AC217" s="28"/>
      <c r="AD217" s="28" t="e">
        <f>(1/Table4[[#This Row],[nm8]])*10^7</f>
        <v>#DIV/0!</v>
      </c>
      <c r="AE217" s="28"/>
      <c r="AF217" s="28" t="e">
        <f>(1/Table4[[#This Row],[nm9]])*10^7</f>
        <v>#DIV/0!</v>
      </c>
      <c r="AG217" s="28"/>
      <c r="AH217" s="28"/>
      <c r="AI217" s="28" t="e">
        <f>(1/Table4[[#This Row],[nm4]])*10^7</f>
        <v>#DIV/0!</v>
      </c>
      <c r="AJ217" s="28"/>
      <c r="AK217" s="28" t="e">
        <f>(1/Table4[[#This Row],[nm14]])*10^7</f>
        <v>#DIV/0!</v>
      </c>
      <c r="AL217" s="28"/>
      <c r="AM217" s="28"/>
      <c r="AN217" s="28" t="e">
        <f>(1/Table4[[#This Row],[nm28]])*10^7</f>
        <v>#DIV/0!</v>
      </c>
      <c r="AO217" s="28"/>
      <c r="AP217" s="28" t="e">
        <f>(1/Table4[[#This Row],[nm10]])*10^7</f>
        <v>#DIV/0!</v>
      </c>
      <c r="AQ217" s="28"/>
      <c r="AR217" s="28" t="e">
        <f>(1/Table4[[#This Row],[nm11]])*10^7</f>
        <v>#DIV/0!</v>
      </c>
      <c r="AS217" s="28"/>
      <c r="AT217" s="28">
        <f>Table4[[#This Row],[Φ]]*100</f>
        <v>0</v>
      </c>
      <c r="AU217" s="28"/>
      <c r="AV217" s="28"/>
    </row>
    <row r="218" spans="3:48" x14ac:dyDescent="0.3">
      <c r="C218" s="27" t="e">
        <f>VLOOKUP(Table4[[#This Row],[Marker name]],BaseInfos_Table[#All],6,FALSE)</f>
        <v>#N/A</v>
      </c>
      <c r="G218" s="41" t="e">
        <f>(1*10^7)/Table4[[#This Row],[cm-1]]</f>
        <v>#DIV/0!</v>
      </c>
      <c r="I218" s="41" t="e">
        <f>(1*10^7)/Table4[[#This Row],[cm-2]]</f>
        <v>#DIV/0!</v>
      </c>
      <c r="K218" s="41" t="e">
        <f>(1*10^7)/Table4[[#This Row],[cm-3]]</f>
        <v>#DIV/0!</v>
      </c>
      <c r="R218" s="41" t="e">
        <f>(1*10^7)/Table4[[#This Row],[nm2]]</f>
        <v>#DIV/0!</v>
      </c>
      <c r="T218" s="41" t="e">
        <f>(1*10^7)/Table4[[#This Row],[nm12]]</f>
        <v>#DIV/0!</v>
      </c>
      <c r="Z218" s="28"/>
      <c r="AA218" s="28"/>
      <c r="AB218" s="28" t="e">
        <f>(1/Table4[[#This Row],[nm5]])*10^7</f>
        <v>#DIV/0!</v>
      </c>
      <c r="AC218" s="28"/>
      <c r="AD218" s="28" t="e">
        <f>(1/Table4[[#This Row],[nm8]])*10^7</f>
        <v>#DIV/0!</v>
      </c>
      <c r="AE218" s="28"/>
      <c r="AF218" s="28" t="e">
        <f>(1/Table4[[#This Row],[nm9]])*10^7</f>
        <v>#DIV/0!</v>
      </c>
      <c r="AG218" s="28"/>
      <c r="AH218" s="28"/>
      <c r="AI218" s="28" t="e">
        <f>(1/Table4[[#This Row],[nm4]])*10^7</f>
        <v>#DIV/0!</v>
      </c>
      <c r="AJ218" s="28"/>
      <c r="AK218" s="28" t="e">
        <f>(1/Table4[[#This Row],[nm14]])*10^7</f>
        <v>#DIV/0!</v>
      </c>
      <c r="AL218" s="28"/>
      <c r="AM218" s="28"/>
      <c r="AN218" s="28" t="e">
        <f>(1/Table4[[#This Row],[nm28]])*10^7</f>
        <v>#DIV/0!</v>
      </c>
      <c r="AO218" s="28"/>
      <c r="AP218" s="28" t="e">
        <f>(1/Table4[[#This Row],[nm10]])*10^7</f>
        <v>#DIV/0!</v>
      </c>
      <c r="AQ218" s="28"/>
      <c r="AR218" s="28" t="e">
        <f>(1/Table4[[#This Row],[nm11]])*10^7</f>
        <v>#DIV/0!</v>
      </c>
      <c r="AS218" s="28"/>
      <c r="AT218" s="28">
        <f>Table4[[#This Row],[Φ]]*100</f>
        <v>0</v>
      </c>
      <c r="AU218" s="28"/>
      <c r="AV218" s="28"/>
    </row>
    <row r="219" spans="3:48" x14ac:dyDescent="0.3">
      <c r="C219" s="27" t="e">
        <f>VLOOKUP(Table4[[#This Row],[Marker name]],BaseInfos_Table[#All],6,FALSE)</f>
        <v>#N/A</v>
      </c>
      <c r="G219" s="41" t="e">
        <f>(1*10^7)/Table4[[#This Row],[cm-1]]</f>
        <v>#DIV/0!</v>
      </c>
      <c r="I219" s="41" t="e">
        <f>(1*10^7)/Table4[[#This Row],[cm-2]]</f>
        <v>#DIV/0!</v>
      </c>
      <c r="K219" s="41" t="e">
        <f>(1*10^7)/Table4[[#This Row],[cm-3]]</f>
        <v>#DIV/0!</v>
      </c>
      <c r="R219" s="41" t="e">
        <f>(1*10^7)/Table4[[#This Row],[nm2]]</f>
        <v>#DIV/0!</v>
      </c>
      <c r="T219" s="41" t="e">
        <f>(1*10^7)/Table4[[#This Row],[nm12]]</f>
        <v>#DIV/0!</v>
      </c>
      <c r="Z219" s="28"/>
      <c r="AA219" s="28"/>
      <c r="AB219" s="28" t="e">
        <f>(1/Table4[[#This Row],[nm5]])*10^7</f>
        <v>#DIV/0!</v>
      </c>
      <c r="AC219" s="28"/>
      <c r="AD219" s="28" t="e">
        <f>(1/Table4[[#This Row],[nm8]])*10^7</f>
        <v>#DIV/0!</v>
      </c>
      <c r="AE219" s="28"/>
      <c r="AF219" s="28" t="e">
        <f>(1/Table4[[#This Row],[nm9]])*10^7</f>
        <v>#DIV/0!</v>
      </c>
      <c r="AG219" s="28"/>
      <c r="AH219" s="28"/>
      <c r="AI219" s="28" t="e">
        <f>(1/Table4[[#This Row],[nm4]])*10^7</f>
        <v>#DIV/0!</v>
      </c>
      <c r="AJ219" s="28"/>
      <c r="AK219" s="28" t="e">
        <f>(1/Table4[[#This Row],[nm14]])*10^7</f>
        <v>#DIV/0!</v>
      </c>
      <c r="AL219" s="28"/>
      <c r="AM219" s="28"/>
      <c r="AN219" s="28" t="e">
        <f>(1/Table4[[#This Row],[nm28]])*10^7</f>
        <v>#DIV/0!</v>
      </c>
      <c r="AO219" s="28"/>
      <c r="AP219" s="28" t="e">
        <f>(1/Table4[[#This Row],[nm10]])*10^7</f>
        <v>#DIV/0!</v>
      </c>
      <c r="AQ219" s="28"/>
      <c r="AR219" s="28" t="e">
        <f>(1/Table4[[#This Row],[nm11]])*10^7</f>
        <v>#DIV/0!</v>
      </c>
      <c r="AS219" s="28"/>
      <c r="AT219" s="28">
        <f>Table4[[#This Row],[Φ]]*100</f>
        <v>0</v>
      </c>
      <c r="AU219" s="28"/>
      <c r="AV219" s="28"/>
    </row>
    <row r="220" spans="3:48" x14ac:dyDescent="0.3">
      <c r="C220" s="27" t="e">
        <f>VLOOKUP(Table4[[#This Row],[Marker name]],BaseInfos_Table[#All],6,FALSE)</f>
        <v>#N/A</v>
      </c>
      <c r="G220" s="41" t="e">
        <f>(1*10^7)/Table4[[#This Row],[cm-1]]</f>
        <v>#DIV/0!</v>
      </c>
      <c r="I220" s="41" t="e">
        <f>(1*10^7)/Table4[[#This Row],[cm-2]]</f>
        <v>#DIV/0!</v>
      </c>
      <c r="K220" s="41" t="e">
        <f>(1*10^7)/Table4[[#This Row],[cm-3]]</f>
        <v>#DIV/0!</v>
      </c>
      <c r="R220" s="41" t="e">
        <f>(1*10^7)/Table4[[#This Row],[nm2]]</f>
        <v>#DIV/0!</v>
      </c>
      <c r="T220" s="41" t="e">
        <f>(1*10^7)/Table4[[#This Row],[nm12]]</f>
        <v>#DIV/0!</v>
      </c>
      <c r="Z220" s="28"/>
      <c r="AA220" s="28"/>
      <c r="AB220" s="28" t="e">
        <f>(1/Table4[[#This Row],[nm5]])*10^7</f>
        <v>#DIV/0!</v>
      </c>
      <c r="AC220" s="28"/>
      <c r="AD220" s="28" t="e">
        <f>(1/Table4[[#This Row],[nm8]])*10^7</f>
        <v>#DIV/0!</v>
      </c>
      <c r="AE220" s="28"/>
      <c r="AF220" s="28" t="e">
        <f>(1/Table4[[#This Row],[nm9]])*10^7</f>
        <v>#DIV/0!</v>
      </c>
      <c r="AG220" s="28"/>
      <c r="AH220" s="28"/>
      <c r="AI220" s="28" t="e">
        <f>(1/Table4[[#This Row],[nm4]])*10^7</f>
        <v>#DIV/0!</v>
      </c>
      <c r="AJ220" s="28"/>
      <c r="AK220" s="28" t="e">
        <f>(1/Table4[[#This Row],[nm14]])*10^7</f>
        <v>#DIV/0!</v>
      </c>
      <c r="AL220" s="28"/>
      <c r="AM220" s="28"/>
      <c r="AN220" s="28" t="e">
        <f>(1/Table4[[#This Row],[nm28]])*10^7</f>
        <v>#DIV/0!</v>
      </c>
      <c r="AO220" s="28"/>
      <c r="AP220" s="28" t="e">
        <f>(1/Table4[[#This Row],[nm10]])*10^7</f>
        <v>#DIV/0!</v>
      </c>
      <c r="AQ220" s="28"/>
      <c r="AR220" s="28" t="e">
        <f>(1/Table4[[#This Row],[nm11]])*10^7</f>
        <v>#DIV/0!</v>
      </c>
      <c r="AS220" s="28"/>
      <c r="AT220" s="28">
        <f>Table4[[#This Row],[Φ]]*100</f>
        <v>0</v>
      </c>
      <c r="AU220" s="28"/>
      <c r="AV220" s="28"/>
    </row>
    <row r="221" spans="3:48" x14ac:dyDescent="0.3">
      <c r="C221" s="27" t="e">
        <f>VLOOKUP(Table4[[#This Row],[Marker name]],BaseInfos_Table[#All],6,FALSE)</f>
        <v>#N/A</v>
      </c>
      <c r="G221" s="41" t="e">
        <f>(1*10^7)/Table4[[#This Row],[cm-1]]</f>
        <v>#DIV/0!</v>
      </c>
      <c r="I221" s="41" t="e">
        <f>(1*10^7)/Table4[[#This Row],[cm-2]]</f>
        <v>#DIV/0!</v>
      </c>
      <c r="K221" s="41" t="e">
        <f>(1*10^7)/Table4[[#This Row],[cm-3]]</f>
        <v>#DIV/0!</v>
      </c>
      <c r="R221" s="41" t="e">
        <f>(1*10^7)/Table4[[#This Row],[nm2]]</f>
        <v>#DIV/0!</v>
      </c>
      <c r="T221" s="41" t="e">
        <f>(1*10^7)/Table4[[#This Row],[nm12]]</f>
        <v>#DIV/0!</v>
      </c>
      <c r="Z221" s="28"/>
      <c r="AA221" s="28"/>
      <c r="AB221" s="28" t="e">
        <f>(1/Table4[[#This Row],[nm5]])*10^7</f>
        <v>#DIV/0!</v>
      </c>
      <c r="AC221" s="28"/>
      <c r="AD221" s="28" t="e">
        <f>(1/Table4[[#This Row],[nm8]])*10^7</f>
        <v>#DIV/0!</v>
      </c>
      <c r="AE221" s="28"/>
      <c r="AF221" s="28" t="e">
        <f>(1/Table4[[#This Row],[nm9]])*10^7</f>
        <v>#DIV/0!</v>
      </c>
      <c r="AG221" s="28"/>
      <c r="AH221" s="28"/>
      <c r="AI221" s="28" t="e">
        <f>(1/Table4[[#This Row],[nm4]])*10^7</f>
        <v>#DIV/0!</v>
      </c>
      <c r="AJ221" s="28"/>
      <c r="AK221" s="28" t="e">
        <f>(1/Table4[[#This Row],[nm14]])*10^7</f>
        <v>#DIV/0!</v>
      </c>
      <c r="AL221" s="28"/>
      <c r="AM221" s="28"/>
      <c r="AN221" s="28" t="e">
        <f>(1/Table4[[#This Row],[nm28]])*10^7</f>
        <v>#DIV/0!</v>
      </c>
      <c r="AO221" s="28"/>
      <c r="AP221" s="28" t="e">
        <f>(1/Table4[[#This Row],[nm10]])*10^7</f>
        <v>#DIV/0!</v>
      </c>
      <c r="AQ221" s="28"/>
      <c r="AR221" s="28" t="e">
        <f>(1/Table4[[#This Row],[nm11]])*10^7</f>
        <v>#DIV/0!</v>
      </c>
      <c r="AS221" s="28"/>
      <c r="AT221" s="28">
        <f>Table4[[#This Row],[Φ]]*100</f>
        <v>0</v>
      </c>
      <c r="AU221" s="28"/>
      <c r="AV221" s="28"/>
    </row>
    <row r="222" spans="3:48" x14ac:dyDescent="0.3">
      <c r="C222" s="27" t="e">
        <f>VLOOKUP(Table4[[#This Row],[Marker name]],BaseInfos_Table[#All],6,FALSE)</f>
        <v>#N/A</v>
      </c>
      <c r="G222" s="41" t="e">
        <f>(1*10^7)/Table4[[#This Row],[cm-1]]</f>
        <v>#DIV/0!</v>
      </c>
      <c r="I222" s="41" t="e">
        <f>(1*10^7)/Table4[[#This Row],[cm-2]]</f>
        <v>#DIV/0!</v>
      </c>
      <c r="K222" s="41" t="e">
        <f>(1*10^7)/Table4[[#This Row],[cm-3]]</f>
        <v>#DIV/0!</v>
      </c>
      <c r="R222" s="41" t="e">
        <f>(1*10^7)/Table4[[#This Row],[nm2]]</f>
        <v>#DIV/0!</v>
      </c>
      <c r="T222" s="41" t="e">
        <f>(1*10^7)/Table4[[#This Row],[nm12]]</f>
        <v>#DIV/0!</v>
      </c>
      <c r="Z222" s="28"/>
      <c r="AA222" s="28"/>
      <c r="AB222" s="28" t="e">
        <f>(1/Table4[[#This Row],[nm5]])*10^7</f>
        <v>#DIV/0!</v>
      </c>
      <c r="AC222" s="28"/>
      <c r="AD222" s="28" t="e">
        <f>(1/Table4[[#This Row],[nm8]])*10^7</f>
        <v>#DIV/0!</v>
      </c>
      <c r="AE222" s="28"/>
      <c r="AF222" s="28" t="e">
        <f>(1/Table4[[#This Row],[nm9]])*10^7</f>
        <v>#DIV/0!</v>
      </c>
      <c r="AG222" s="28"/>
      <c r="AH222" s="28"/>
      <c r="AI222" s="28" t="e">
        <f>(1/Table4[[#This Row],[nm4]])*10^7</f>
        <v>#DIV/0!</v>
      </c>
      <c r="AJ222" s="28"/>
      <c r="AK222" s="28" t="e">
        <f>(1/Table4[[#This Row],[nm14]])*10^7</f>
        <v>#DIV/0!</v>
      </c>
      <c r="AL222" s="28"/>
      <c r="AM222" s="28"/>
      <c r="AN222" s="28" t="e">
        <f>(1/Table4[[#This Row],[nm28]])*10^7</f>
        <v>#DIV/0!</v>
      </c>
      <c r="AO222" s="28"/>
      <c r="AP222" s="28" t="e">
        <f>(1/Table4[[#This Row],[nm10]])*10^7</f>
        <v>#DIV/0!</v>
      </c>
      <c r="AQ222" s="28"/>
      <c r="AR222" s="28" t="e">
        <f>(1/Table4[[#This Row],[nm11]])*10^7</f>
        <v>#DIV/0!</v>
      </c>
      <c r="AS222" s="28"/>
      <c r="AT222" s="28">
        <f>Table4[[#This Row],[Φ]]*100</f>
        <v>0</v>
      </c>
      <c r="AU222" s="28"/>
      <c r="AV222" s="28"/>
    </row>
    <row r="223" spans="3:48" x14ac:dyDescent="0.3">
      <c r="C223" s="27" t="e">
        <f>VLOOKUP(Table4[[#This Row],[Marker name]],BaseInfos_Table[#All],6,FALSE)</f>
        <v>#N/A</v>
      </c>
      <c r="G223" s="41" t="e">
        <f>(1*10^7)/Table4[[#This Row],[cm-1]]</f>
        <v>#DIV/0!</v>
      </c>
      <c r="I223" s="41" t="e">
        <f>(1*10^7)/Table4[[#This Row],[cm-2]]</f>
        <v>#DIV/0!</v>
      </c>
      <c r="K223" s="41" t="e">
        <f>(1*10^7)/Table4[[#This Row],[cm-3]]</f>
        <v>#DIV/0!</v>
      </c>
      <c r="R223" s="41" t="e">
        <f>(1*10^7)/Table4[[#This Row],[nm2]]</f>
        <v>#DIV/0!</v>
      </c>
      <c r="T223" s="41" t="e">
        <f>(1*10^7)/Table4[[#This Row],[nm12]]</f>
        <v>#DIV/0!</v>
      </c>
      <c r="Z223" s="28"/>
      <c r="AA223" s="28"/>
      <c r="AB223" s="28" t="e">
        <f>(1/Table4[[#This Row],[nm5]])*10^7</f>
        <v>#DIV/0!</v>
      </c>
      <c r="AC223" s="28"/>
      <c r="AD223" s="28" t="e">
        <f>(1/Table4[[#This Row],[nm8]])*10^7</f>
        <v>#DIV/0!</v>
      </c>
      <c r="AE223" s="28"/>
      <c r="AF223" s="28" t="e">
        <f>(1/Table4[[#This Row],[nm9]])*10^7</f>
        <v>#DIV/0!</v>
      </c>
      <c r="AG223" s="28"/>
      <c r="AH223" s="28"/>
      <c r="AI223" s="28" t="e">
        <f>(1/Table4[[#This Row],[nm4]])*10^7</f>
        <v>#DIV/0!</v>
      </c>
      <c r="AJ223" s="28"/>
      <c r="AK223" s="28" t="e">
        <f>(1/Table4[[#This Row],[nm14]])*10^7</f>
        <v>#DIV/0!</v>
      </c>
      <c r="AL223" s="28"/>
      <c r="AM223" s="28"/>
      <c r="AN223" s="28" t="e">
        <f>(1/Table4[[#This Row],[nm28]])*10^7</f>
        <v>#DIV/0!</v>
      </c>
      <c r="AO223" s="28"/>
      <c r="AP223" s="28" t="e">
        <f>(1/Table4[[#This Row],[nm10]])*10^7</f>
        <v>#DIV/0!</v>
      </c>
      <c r="AQ223" s="28"/>
      <c r="AR223" s="28" t="e">
        <f>(1/Table4[[#This Row],[nm11]])*10^7</f>
        <v>#DIV/0!</v>
      </c>
      <c r="AS223" s="28"/>
      <c r="AT223" s="28">
        <f>Table4[[#This Row],[Φ]]*100</f>
        <v>0</v>
      </c>
      <c r="AU223" s="28"/>
      <c r="AV223" s="28"/>
    </row>
    <row r="224" spans="3:48" x14ac:dyDescent="0.3">
      <c r="C224" s="27" t="e">
        <f>VLOOKUP(Table4[[#This Row],[Marker name]],BaseInfos_Table[#All],6,FALSE)</f>
        <v>#N/A</v>
      </c>
      <c r="G224" s="41" t="e">
        <f>(1*10^7)/Table4[[#This Row],[cm-1]]</f>
        <v>#DIV/0!</v>
      </c>
      <c r="I224" s="41" t="e">
        <f>(1*10^7)/Table4[[#This Row],[cm-2]]</f>
        <v>#DIV/0!</v>
      </c>
      <c r="K224" s="41" t="e">
        <f>(1*10^7)/Table4[[#This Row],[cm-3]]</f>
        <v>#DIV/0!</v>
      </c>
      <c r="R224" s="41" t="e">
        <f>(1*10^7)/Table4[[#This Row],[nm2]]</f>
        <v>#DIV/0!</v>
      </c>
      <c r="T224" s="41" t="e">
        <f>(1*10^7)/Table4[[#This Row],[nm12]]</f>
        <v>#DIV/0!</v>
      </c>
      <c r="Z224" s="28"/>
      <c r="AA224" s="28"/>
      <c r="AB224" s="28" t="e">
        <f>(1/Table4[[#This Row],[nm5]])*10^7</f>
        <v>#DIV/0!</v>
      </c>
      <c r="AC224" s="28"/>
      <c r="AD224" s="28" t="e">
        <f>(1/Table4[[#This Row],[nm8]])*10^7</f>
        <v>#DIV/0!</v>
      </c>
      <c r="AE224" s="28"/>
      <c r="AF224" s="28" t="e">
        <f>(1/Table4[[#This Row],[nm9]])*10^7</f>
        <v>#DIV/0!</v>
      </c>
      <c r="AG224" s="28"/>
      <c r="AH224" s="28"/>
      <c r="AI224" s="28" t="e">
        <f>(1/Table4[[#This Row],[nm4]])*10^7</f>
        <v>#DIV/0!</v>
      </c>
      <c r="AJ224" s="28"/>
      <c r="AK224" s="28" t="e">
        <f>(1/Table4[[#This Row],[nm14]])*10^7</f>
        <v>#DIV/0!</v>
      </c>
      <c r="AL224" s="28"/>
      <c r="AM224" s="28"/>
      <c r="AN224" s="28" t="e">
        <f>(1/Table4[[#This Row],[nm28]])*10^7</f>
        <v>#DIV/0!</v>
      </c>
      <c r="AO224" s="28"/>
      <c r="AP224" s="28" t="e">
        <f>(1/Table4[[#This Row],[nm10]])*10^7</f>
        <v>#DIV/0!</v>
      </c>
      <c r="AQ224" s="28"/>
      <c r="AR224" s="28" t="e">
        <f>(1/Table4[[#This Row],[nm11]])*10^7</f>
        <v>#DIV/0!</v>
      </c>
      <c r="AS224" s="28"/>
      <c r="AT224" s="28">
        <f>Table4[[#This Row],[Φ]]*100</f>
        <v>0</v>
      </c>
      <c r="AU224" s="28"/>
      <c r="AV224" s="28"/>
    </row>
    <row r="225" spans="3:48" x14ac:dyDescent="0.3">
      <c r="C225" s="27" t="e">
        <f>VLOOKUP(Table4[[#This Row],[Marker name]],BaseInfos_Table[#All],6,FALSE)</f>
        <v>#N/A</v>
      </c>
      <c r="G225" s="41" t="e">
        <f>(1*10^7)/Table4[[#This Row],[cm-1]]</f>
        <v>#DIV/0!</v>
      </c>
      <c r="I225" s="41" t="e">
        <f>(1*10^7)/Table4[[#This Row],[cm-2]]</f>
        <v>#DIV/0!</v>
      </c>
      <c r="K225" s="41" t="e">
        <f>(1*10^7)/Table4[[#This Row],[cm-3]]</f>
        <v>#DIV/0!</v>
      </c>
      <c r="R225" s="41" t="e">
        <f>(1*10^7)/Table4[[#This Row],[nm2]]</f>
        <v>#DIV/0!</v>
      </c>
      <c r="T225" s="41" t="e">
        <f>(1*10^7)/Table4[[#This Row],[nm12]]</f>
        <v>#DIV/0!</v>
      </c>
      <c r="Z225" s="28"/>
      <c r="AA225" s="28"/>
      <c r="AB225" s="28" t="e">
        <f>(1/Table4[[#This Row],[nm5]])*10^7</f>
        <v>#DIV/0!</v>
      </c>
      <c r="AC225" s="28"/>
      <c r="AD225" s="28" t="e">
        <f>(1/Table4[[#This Row],[nm8]])*10^7</f>
        <v>#DIV/0!</v>
      </c>
      <c r="AE225" s="28"/>
      <c r="AF225" s="28" t="e">
        <f>(1/Table4[[#This Row],[nm9]])*10^7</f>
        <v>#DIV/0!</v>
      </c>
      <c r="AG225" s="28"/>
      <c r="AH225" s="28"/>
      <c r="AI225" s="28" t="e">
        <f>(1/Table4[[#This Row],[nm4]])*10^7</f>
        <v>#DIV/0!</v>
      </c>
      <c r="AJ225" s="28"/>
      <c r="AK225" s="28" t="e">
        <f>(1/Table4[[#This Row],[nm14]])*10^7</f>
        <v>#DIV/0!</v>
      </c>
      <c r="AL225" s="28"/>
      <c r="AM225" s="28"/>
      <c r="AN225" s="28" t="e">
        <f>(1/Table4[[#This Row],[nm28]])*10^7</f>
        <v>#DIV/0!</v>
      </c>
      <c r="AO225" s="28"/>
      <c r="AP225" s="28" t="e">
        <f>(1/Table4[[#This Row],[nm10]])*10^7</f>
        <v>#DIV/0!</v>
      </c>
      <c r="AQ225" s="28"/>
      <c r="AR225" s="28" t="e">
        <f>(1/Table4[[#This Row],[nm11]])*10^7</f>
        <v>#DIV/0!</v>
      </c>
      <c r="AS225" s="28"/>
      <c r="AT225" s="28">
        <f>Table4[[#This Row],[Φ]]*100</f>
        <v>0</v>
      </c>
      <c r="AU225" s="28"/>
      <c r="AV225" s="28"/>
    </row>
    <row r="226" spans="3:48" x14ac:dyDescent="0.3">
      <c r="C226" s="27" t="e">
        <f>VLOOKUP(Table4[[#This Row],[Marker name]],BaseInfos_Table[#All],6,FALSE)</f>
        <v>#N/A</v>
      </c>
      <c r="G226" s="41" t="e">
        <f>(1*10^7)/Table4[[#This Row],[cm-1]]</f>
        <v>#DIV/0!</v>
      </c>
      <c r="I226" s="41" t="e">
        <f>(1*10^7)/Table4[[#This Row],[cm-2]]</f>
        <v>#DIV/0!</v>
      </c>
      <c r="K226" s="41" t="e">
        <f>(1*10^7)/Table4[[#This Row],[cm-3]]</f>
        <v>#DIV/0!</v>
      </c>
      <c r="R226" s="41" t="e">
        <f>(1*10^7)/Table4[[#This Row],[nm2]]</f>
        <v>#DIV/0!</v>
      </c>
      <c r="T226" s="41" t="e">
        <f>(1*10^7)/Table4[[#This Row],[nm12]]</f>
        <v>#DIV/0!</v>
      </c>
      <c r="Z226" s="28"/>
      <c r="AA226" s="28"/>
      <c r="AB226" s="28" t="e">
        <f>(1/Table4[[#This Row],[nm5]])*10^7</f>
        <v>#DIV/0!</v>
      </c>
      <c r="AC226" s="28"/>
      <c r="AD226" s="28" t="e">
        <f>(1/Table4[[#This Row],[nm8]])*10^7</f>
        <v>#DIV/0!</v>
      </c>
      <c r="AE226" s="28"/>
      <c r="AF226" s="28" t="e">
        <f>(1/Table4[[#This Row],[nm9]])*10^7</f>
        <v>#DIV/0!</v>
      </c>
      <c r="AG226" s="28"/>
      <c r="AH226" s="28"/>
      <c r="AI226" s="28" t="e">
        <f>(1/Table4[[#This Row],[nm4]])*10^7</f>
        <v>#DIV/0!</v>
      </c>
      <c r="AJ226" s="28"/>
      <c r="AK226" s="28" t="e">
        <f>(1/Table4[[#This Row],[nm14]])*10^7</f>
        <v>#DIV/0!</v>
      </c>
      <c r="AL226" s="28"/>
      <c r="AM226" s="28"/>
      <c r="AN226" s="28" t="e">
        <f>(1/Table4[[#This Row],[nm28]])*10^7</f>
        <v>#DIV/0!</v>
      </c>
      <c r="AO226" s="28"/>
      <c r="AP226" s="28" t="e">
        <f>(1/Table4[[#This Row],[nm10]])*10^7</f>
        <v>#DIV/0!</v>
      </c>
      <c r="AQ226" s="28"/>
      <c r="AR226" s="28" t="e">
        <f>(1/Table4[[#This Row],[nm11]])*10^7</f>
        <v>#DIV/0!</v>
      </c>
      <c r="AS226" s="28"/>
      <c r="AT226" s="28">
        <f>Table4[[#This Row],[Φ]]*100</f>
        <v>0</v>
      </c>
      <c r="AU226" s="28"/>
      <c r="AV226" s="28"/>
    </row>
    <row r="227" spans="3:48" x14ac:dyDescent="0.3">
      <c r="C227" s="27" t="e">
        <f>VLOOKUP(Table4[[#This Row],[Marker name]],BaseInfos_Table[#All],6,FALSE)</f>
        <v>#N/A</v>
      </c>
      <c r="G227" s="41" t="e">
        <f>(1*10^7)/Table4[[#This Row],[cm-1]]</f>
        <v>#DIV/0!</v>
      </c>
      <c r="I227" s="41" t="e">
        <f>(1*10^7)/Table4[[#This Row],[cm-2]]</f>
        <v>#DIV/0!</v>
      </c>
      <c r="K227" s="41" t="e">
        <f>(1*10^7)/Table4[[#This Row],[cm-3]]</f>
        <v>#DIV/0!</v>
      </c>
      <c r="R227" s="41" t="e">
        <f>(1*10^7)/Table4[[#This Row],[nm2]]</f>
        <v>#DIV/0!</v>
      </c>
      <c r="T227" s="41" t="e">
        <f>(1*10^7)/Table4[[#This Row],[nm12]]</f>
        <v>#DIV/0!</v>
      </c>
      <c r="Z227" s="28"/>
      <c r="AA227" s="28"/>
      <c r="AB227" s="28" t="e">
        <f>(1/Table4[[#This Row],[nm5]])*10^7</f>
        <v>#DIV/0!</v>
      </c>
      <c r="AC227" s="28"/>
      <c r="AD227" s="28" t="e">
        <f>(1/Table4[[#This Row],[nm8]])*10^7</f>
        <v>#DIV/0!</v>
      </c>
      <c r="AE227" s="28"/>
      <c r="AF227" s="28" t="e">
        <f>(1/Table4[[#This Row],[nm9]])*10^7</f>
        <v>#DIV/0!</v>
      </c>
      <c r="AG227" s="28"/>
      <c r="AH227" s="28"/>
      <c r="AI227" s="28" t="e">
        <f>(1/Table4[[#This Row],[nm4]])*10^7</f>
        <v>#DIV/0!</v>
      </c>
      <c r="AJ227" s="28"/>
      <c r="AK227" s="28" t="e">
        <f>(1/Table4[[#This Row],[nm14]])*10^7</f>
        <v>#DIV/0!</v>
      </c>
      <c r="AL227" s="28"/>
      <c r="AM227" s="28"/>
      <c r="AN227" s="28" t="e">
        <f>(1/Table4[[#This Row],[nm28]])*10^7</f>
        <v>#DIV/0!</v>
      </c>
      <c r="AO227" s="28"/>
      <c r="AP227" s="28" t="e">
        <f>(1/Table4[[#This Row],[nm10]])*10^7</f>
        <v>#DIV/0!</v>
      </c>
      <c r="AQ227" s="28"/>
      <c r="AR227" s="28" t="e">
        <f>(1/Table4[[#This Row],[nm11]])*10^7</f>
        <v>#DIV/0!</v>
      </c>
      <c r="AS227" s="28"/>
      <c r="AT227" s="28">
        <f>Table4[[#This Row],[Φ]]*100</f>
        <v>0</v>
      </c>
      <c r="AU227" s="28"/>
      <c r="AV227" s="28"/>
    </row>
    <row r="228" spans="3:48" x14ac:dyDescent="0.3">
      <c r="C228" s="27" t="e">
        <f>VLOOKUP(Table4[[#This Row],[Marker name]],BaseInfos_Table[#All],6,FALSE)</f>
        <v>#N/A</v>
      </c>
      <c r="G228" s="41" t="e">
        <f>(1*10^7)/Table4[[#This Row],[cm-1]]</f>
        <v>#DIV/0!</v>
      </c>
      <c r="I228" s="41" t="e">
        <f>(1*10^7)/Table4[[#This Row],[cm-2]]</f>
        <v>#DIV/0!</v>
      </c>
      <c r="K228" s="41" t="e">
        <f>(1*10^7)/Table4[[#This Row],[cm-3]]</f>
        <v>#DIV/0!</v>
      </c>
      <c r="R228" s="41" t="e">
        <f>(1*10^7)/Table4[[#This Row],[nm2]]</f>
        <v>#DIV/0!</v>
      </c>
      <c r="T228" s="41" t="e">
        <f>(1*10^7)/Table4[[#This Row],[nm12]]</f>
        <v>#DIV/0!</v>
      </c>
      <c r="Z228" s="28"/>
      <c r="AA228" s="28"/>
      <c r="AB228" s="28" t="e">
        <f>(1/Table4[[#This Row],[nm5]])*10^7</f>
        <v>#DIV/0!</v>
      </c>
      <c r="AC228" s="28"/>
      <c r="AD228" s="28" t="e">
        <f>(1/Table4[[#This Row],[nm8]])*10^7</f>
        <v>#DIV/0!</v>
      </c>
      <c r="AE228" s="28"/>
      <c r="AF228" s="28" t="e">
        <f>(1/Table4[[#This Row],[nm9]])*10^7</f>
        <v>#DIV/0!</v>
      </c>
      <c r="AG228" s="28"/>
      <c r="AH228" s="28"/>
      <c r="AI228" s="28" t="e">
        <f>(1/Table4[[#This Row],[nm4]])*10^7</f>
        <v>#DIV/0!</v>
      </c>
      <c r="AJ228" s="28"/>
      <c r="AK228" s="28" t="e">
        <f>(1/Table4[[#This Row],[nm14]])*10^7</f>
        <v>#DIV/0!</v>
      </c>
      <c r="AL228" s="28"/>
      <c r="AM228" s="28"/>
      <c r="AN228" s="28" t="e">
        <f>(1/Table4[[#This Row],[nm28]])*10^7</f>
        <v>#DIV/0!</v>
      </c>
      <c r="AO228" s="28"/>
      <c r="AP228" s="28" t="e">
        <f>(1/Table4[[#This Row],[nm10]])*10^7</f>
        <v>#DIV/0!</v>
      </c>
      <c r="AQ228" s="28"/>
      <c r="AR228" s="28" t="e">
        <f>(1/Table4[[#This Row],[nm11]])*10^7</f>
        <v>#DIV/0!</v>
      </c>
      <c r="AS228" s="28"/>
      <c r="AT228" s="28">
        <f>Table4[[#This Row],[Φ]]*100</f>
        <v>0</v>
      </c>
      <c r="AU228" s="28"/>
      <c r="AV228" s="28"/>
    </row>
    <row r="229" spans="3:48" x14ac:dyDescent="0.3">
      <c r="C229" s="27" t="e">
        <f>VLOOKUP(Table4[[#This Row],[Marker name]],BaseInfos_Table[#All],6,FALSE)</f>
        <v>#N/A</v>
      </c>
      <c r="G229" s="41" t="e">
        <f>(1*10^7)/Table4[[#This Row],[cm-1]]</f>
        <v>#DIV/0!</v>
      </c>
      <c r="I229" s="41" t="e">
        <f>(1*10^7)/Table4[[#This Row],[cm-2]]</f>
        <v>#DIV/0!</v>
      </c>
      <c r="K229" s="41" t="e">
        <f>(1*10^7)/Table4[[#This Row],[cm-3]]</f>
        <v>#DIV/0!</v>
      </c>
      <c r="R229" s="41" t="e">
        <f>(1*10^7)/Table4[[#This Row],[nm2]]</f>
        <v>#DIV/0!</v>
      </c>
      <c r="T229" s="41" t="e">
        <f>(1*10^7)/Table4[[#This Row],[nm12]]</f>
        <v>#DIV/0!</v>
      </c>
      <c r="Z229" s="28"/>
      <c r="AA229" s="28"/>
      <c r="AB229" s="28" t="e">
        <f>(1/Table4[[#This Row],[nm5]])*10^7</f>
        <v>#DIV/0!</v>
      </c>
      <c r="AC229" s="28"/>
      <c r="AD229" s="28" t="e">
        <f>(1/Table4[[#This Row],[nm8]])*10^7</f>
        <v>#DIV/0!</v>
      </c>
      <c r="AE229" s="28"/>
      <c r="AF229" s="28" t="e">
        <f>(1/Table4[[#This Row],[nm9]])*10^7</f>
        <v>#DIV/0!</v>
      </c>
      <c r="AG229" s="28"/>
      <c r="AH229" s="28"/>
      <c r="AI229" s="28" t="e">
        <f>(1/Table4[[#This Row],[nm4]])*10^7</f>
        <v>#DIV/0!</v>
      </c>
      <c r="AJ229" s="28"/>
      <c r="AK229" s="28" t="e">
        <f>(1/Table4[[#This Row],[nm14]])*10^7</f>
        <v>#DIV/0!</v>
      </c>
      <c r="AL229" s="28"/>
      <c r="AM229" s="28"/>
      <c r="AN229" s="28" t="e">
        <f>(1/Table4[[#This Row],[nm28]])*10^7</f>
        <v>#DIV/0!</v>
      </c>
      <c r="AO229" s="28"/>
      <c r="AP229" s="28" t="e">
        <f>(1/Table4[[#This Row],[nm10]])*10^7</f>
        <v>#DIV/0!</v>
      </c>
      <c r="AQ229" s="28"/>
      <c r="AR229" s="28" t="e">
        <f>(1/Table4[[#This Row],[nm11]])*10^7</f>
        <v>#DIV/0!</v>
      </c>
      <c r="AS229" s="28"/>
      <c r="AT229" s="28">
        <f>Table4[[#This Row],[Φ]]*100</f>
        <v>0</v>
      </c>
      <c r="AU229" s="28"/>
      <c r="AV229" s="28"/>
    </row>
    <row r="230" spans="3:48" x14ac:dyDescent="0.3">
      <c r="C230" s="27" t="e">
        <f>VLOOKUP(Table4[[#This Row],[Marker name]],BaseInfos_Table[#All],6,FALSE)</f>
        <v>#N/A</v>
      </c>
      <c r="G230" s="41" t="e">
        <f>(1*10^7)/Table4[[#This Row],[cm-1]]</f>
        <v>#DIV/0!</v>
      </c>
      <c r="I230" s="41" t="e">
        <f>(1*10^7)/Table4[[#This Row],[cm-2]]</f>
        <v>#DIV/0!</v>
      </c>
      <c r="K230" s="41" t="e">
        <f>(1*10^7)/Table4[[#This Row],[cm-3]]</f>
        <v>#DIV/0!</v>
      </c>
      <c r="R230" s="41" t="e">
        <f>(1*10^7)/Table4[[#This Row],[nm2]]</f>
        <v>#DIV/0!</v>
      </c>
      <c r="T230" s="41" t="e">
        <f>(1*10^7)/Table4[[#This Row],[nm12]]</f>
        <v>#DIV/0!</v>
      </c>
      <c r="Z230" s="28"/>
      <c r="AA230" s="28"/>
      <c r="AB230" s="28" t="e">
        <f>(1/Table4[[#This Row],[nm5]])*10^7</f>
        <v>#DIV/0!</v>
      </c>
      <c r="AC230" s="28"/>
      <c r="AD230" s="28" t="e">
        <f>(1/Table4[[#This Row],[nm8]])*10^7</f>
        <v>#DIV/0!</v>
      </c>
      <c r="AE230" s="28"/>
      <c r="AF230" s="28" t="e">
        <f>(1/Table4[[#This Row],[nm9]])*10^7</f>
        <v>#DIV/0!</v>
      </c>
      <c r="AG230" s="28"/>
      <c r="AH230" s="28"/>
      <c r="AI230" s="28" t="e">
        <f>(1/Table4[[#This Row],[nm4]])*10^7</f>
        <v>#DIV/0!</v>
      </c>
      <c r="AJ230" s="28"/>
      <c r="AK230" s="28" t="e">
        <f>(1/Table4[[#This Row],[nm14]])*10^7</f>
        <v>#DIV/0!</v>
      </c>
      <c r="AL230" s="28"/>
      <c r="AM230" s="28"/>
      <c r="AN230" s="28" t="e">
        <f>(1/Table4[[#This Row],[nm28]])*10^7</f>
        <v>#DIV/0!</v>
      </c>
      <c r="AO230" s="28"/>
      <c r="AP230" s="28" t="e">
        <f>(1/Table4[[#This Row],[nm10]])*10^7</f>
        <v>#DIV/0!</v>
      </c>
      <c r="AQ230" s="28"/>
      <c r="AR230" s="28" t="e">
        <f>(1/Table4[[#This Row],[nm11]])*10^7</f>
        <v>#DIV/0!</v>
      </c>
      <c r="AS230" s="28"/>
      <c r="AT230" s="28">
        <f>Table4[[#This Row],[Φ]]*100</f>
        <v>0</v>
      </c>
      <c r="AU230" s="28"/>
      <c r="AV230" s="28"/>
    </row>
    <row r="231" spans="3:48" x14ac:dyDescent="0.3">
      <c r="C231" s="27" t="e">
        <f>VLOOKUP(Table4[[#This Row],[Marker name]],BaseInfos_Table[#All],6,FALSE)</f>
        <v>#N/A</v>
      </c>
      <c r="G231" s="41" t="e">
        <f>(1*10^7)/Table4[[#This Row],[cm-1]]</f>
        <v>#DIV/0!</v>
      </c>
      <c r="I231" s="41" t="e">
        <f>(1*10^7)/Table4[[#This Row],[cm-2]]</f>
        <v>#DIV/0!</v>
      </c>
      <c r="K231" s="41" t="e">
        <f>(1*10^7)/Table4[[#This Row],[cm-3]]</f>
        <v>#DIV/0!</v>
      </c>
      <c r="R231" s="41" t="e">
        <f>(1*10^7)/Table4[[#This Row],[nm2]]</f>
        <v>#DIV/0!</v>
      </c>
      <c r="T231" s="41" t="e">
        <f>(1*10^7)/Table4[[#This Row],[nm12]]</f>
        <v>#DIV/0!</v>
      </c>
      <c r="Z231" s="28"/>
      <c r="AA231" s="28"/>
      <c r="AB231" s="28" t="e">
        <f>(1/Table4[[#This Row],[nm5]])*10^7</f>
        <v>#DIV/0!</v>
      </c>
      <c r="AC231" s="28"/>
      <c r="AD231" s="28" t="e">
        <f>(1/Table4[[#This Row],[nm8]])*10^7</f>
        <v>#DIV/0!</v>
      </c>
      <c r="AE231" s="28"/>
      <c r="AF231" s="28" t="e">
        <f>(1/Table4[[#This Row],[nm9]])*10^7</f>
        <v>#DIV/0!</v>
      </c>
      <c r="AG231" s="28"/>
      <c r="AH231" s="28"/>
      <c r="AI231" s="28" t="e">
        <f>(1/Table4[[#This Row],[nm4]])*10^7</f>
        <v>#DIV/0!</v>
      </c>
      <c r="AJ231" s="28"/>
      <c r="AK231" s="28" t="e">
        <f>(1/Table4[[#This Row],[nm14]])*10^7</f>
        <v>#DIV/0!</v>
      </c>
      <c r="AL231" s="28"/>
      <c r="AM231" s="28"/>
      <c r="AN231" s="28" t="e">
        <f>(1/Table4[[#This Row],[nm28]])*10^7</f>
        <v>#DIV/0!</v>
      </c>
      <c r="AO231" s="28"/>
      <c r="AP231" s="28" t="e">
        <f>(1/Table4[[#This Row],[nm10]])*10^7</f>
        <v>#DIV/0!</v>
      </c>
      <c r="AQ231" s="28"/>
      <c r="AR231" s="28" t="e">
        <f>(1/Table4[[#This Row],[nm11]])*10^7</f>
        <v>#DIV/0!</v>
      </c>
      <c r="AS231" s="28"/>
      <c r="AT231" s="28">
        <f>Table4[[#This Row],[Φ]]*100</f>
        <v>0</v>
      </c>
      <c r="AU231" s="28"/>
      <c r="AV231" s="28"/>
    </row>
    <row r="232" spans="3:48" x14ac:dyDescent="0.3">
      <c r="C232" s="27" t="e">
        <f>VLOOKUP(Table4[[#This Row],[Marker name]],BaseInfos_Table[#All],6,FALSE)</f>
        <v>#N/A</v>
      </c>
      <c r="G232" s="41" t="e">
        <f>(1*10^7)/Table4[[#This Row],[cm-1]]</f>
        <v>#DIV/0!</v>
      </c>
      <c r="I232" s="41" t="e">
        <f>(1*10^7)/Table4[[#This Row],[cm-2]]</f>
        <v>#DIV/0!</v>
      </c>
      <c r="K232" s="41" t="e">
        <f>(1*10^7)/Table4[[#This Row],[cm-3]]</f>
        <v>#DIV/0!</v>
      </c>
      <c r="R232" s="41" t="e">
        <f>(1*10^7)/Table4[[#This Row],[nm2]]</f>
        <v>#DIV/0!</v>
      </c>
      <c r="T232" s="41" t="e">
        <f>(1*10^7)/Table4[[#This Row],[nm12]]</f>
        <v>#DIV/0!</v>
      </c>
      <c r="Z232" s="28"/>
      <c r="AA232" s="28"/>
      <c r="AB232" s="28" t="e">
        <f>(1/Table4[[#This Row],[nm5]])*10^7</f>
        <v>#DIV/0!</v>
      </c>
      <c r="AC232" s="28"/>
      <c r="AD232" s="28" t="e">
        <f>(1/Table4[[#This Row],[nm8]])*10^7</f>
        <v>#DIV/0!</v>
      </c>
      <c r="AE232" s="28"/>
      <c r="AF232" s="28" t="e">
        <f>(1/Table4[[#This Row],[nm9]])*10^7</f>
        <v>#DIV/0!</v>
      </c>
      <c r="AG232" s="28"/>
      <c r="AH232" s="28"/>
      <c r="AI232" s="28" t="e">
        <f>(1/Table4[[#This Row],[nm4]])*10^7</f>
        <v>#DIV/0!</v>
      </c>
      <c r="AJ232" s="28"/>
      <c r="AK232" s="28" t="e">
        <f>(1/Table4[[#This Row],[nm14]])*10^7</f>
        <v>#DIV/0!</v>
      </c>
      <c r="AL232" s="28"/>
      <c r="AM232" s="28"/>
      <c r="AN232" s="28" t="e">
        <f>(1/Table4[[#This Row],[nm28]])*10^7</f>
        <v>#DIV/0!</v>
      </c>
      <c r="AO232" s="28"/>
      <c r="AP232" s="28" t="e">
        <f>(1/Table4[[#This Row],[nm10]])*10^7</f>
        <v>#DIV/0!</v>
      </c>
      <c r="AQ232" s="28"/>
      <c r="AR232" s="28" t="e">
        <f>(1/Table4[[#This Row],[nm11]])*10^7</f>
        <v>#DIV/0!</v>
      </c>
      <c r="AS232" s="28"/>
      <c r="AT232" s="28">
        <f>Table4[[#This Row],[Φ]]*100</f>
        <v>0</v>
      </c>
      <c r="AU232" s="28"/>
      <c r="AV232" s="28"/>
    </row>
    <row r="233" spans="3:48" x14ac:dyDescent="0.3">
      <c r="C233" s="27" t="e">
        <f>VLOOKUP(Table4[[#This Row],[Marker name]],BaseInfos_Table[#All],6,FALSE)</f>
        <v>#N/A</v>
      </c>
      <c r="G233" s="41" t="e">
        <f>(1*10^7)/Table4[[#This Row],[cm-1]]</f>
        <v>#DIV/0!</v>
      </c>
      <c r="I233" s="41" t="e">
        <f>(1*10^7)/Table4[[#This Row],[cm-2]]</f>
        <v>#DIV/0!</v>
      </c>
      <c r="K233" s="41" t="e">
        <f>(1*10^7)/Table4[[#This Row],[cm-3]]</f>
        <v>#DIV/0!</v>
      </c>
      <c r="R233" s="41" t="e">
        <f>(1*10^7)/Table4[[#This Row],[nm2]]</f>
        <v>#DIV/0!</v>
      </c>
      <c r="T233" s="41" t="e">
        <f>(1*10^7)/Table4[[#This Row],[nm12]]</f>
        <v>#DIV/0!</v>
      </c>
      <c r="Z233" s="28"/>
      <c r="AA233" s="28"/>
      <c r="AB233" s="28" t="e">
        <f>(1/Table4[[#This Row],[nm5]])*10^7</f>
        <v>#DIV/0!</v>
      </c>
      <c r="AC233" s="28"/>
      <c r="AD233" s="28" t="e">
        <f>(1/Table4[[#This Row],[nm8]])*10^7</f>
        <v>#DIV/0!</v>
      </c>
      <c r="AE233" s="28"/>
      <c r="AF233" s="28" t="e">
        <f>(1/Table4[[#This Row],[nm9]])*10^7</f>
        <v>#DIV/0!</v>
      </c>
      <c r="AG233" s="28"/>
      <c r="AH233" s="28"/>
      <c r="AI233" s="28" t="e">
        <f>(1/Table4[[#This Row],[nm4]])*10^7</f>
        <v>#DIV/0!</v>
      </c>
      <c r="AJ233" s="28"/>
      <c r="AK233" s="28" t="e">
        <f>(1/Table4[[#This Row],[nm14]])*10^7</f>
        <v>#DIV/0!</v>
      </c>
      <c r="AL233" s="28"/>
      <c r="AM233" s="28"/>
      <c r="AN233" s="28" t="e">
        <f>(1/Table4[[#This Row],[nm28]])*10^7</f>
        <v>#DIV/0!</v>
      </c>
      <c r="AO233" s="28"/>
      <c r="AP233" s="28" t="e">
        <f>(1/Table4[[#This Row],[nm10]])*10^7</f>
        <v>#DIV/0!</v>
      </c>
      <c r="AQ233" s="28"/>
      <c r="AR233" s="28" t="e">
        <f>(1/Table4[[#This Row],[nm11]])*10^7</f>
        <v>#DIV/0!</v>
      </c>
      <c r="AS233" s="28"/>
      <c r="AT233" s="28">
        <f>Table4[[#This Row],[Φ]]*100</f>
        <v>0</v>
      </c>
      <c r="AU233" s="28"/>
      <c r="AV233" s="28"/>
    </row>
    <row r="234" spans="3:48" x14ac:dyDescent="0.3">
      <c r="C234" s="27" t="e">
        <f>VLOOKUP(Table4[[#This Row],[Marker name]],BaseInfos_Table[#All],6,FALSE)</f>
        <v>#N/A</v>
      </c>
      <c r="G234" s="41" t="e">
        <f>(1*10^7)/Table4[[#This Row],[cm-1]]</f>
        <v>#DIV/0!</v>
      </c>
      <c r="I234" s="41" t="e">
        <f>(1*10^7)/Table4[[#This Row],[cm-2]]</f>
        <v>#DIV/0!</v>
      </c>
      <c r="K234" s="41" t="e">
        <f>(1*10^7)/Table4[[#This Row],[cm-3]]</f>
        <v>#DIV/0!</v>
      </c>
      <c r="R234" s="41" t="e">
        <f>(1*10^7)/Table4[[#This Row],[nm2]]</f>
        <v>#DIV/0!</v>
      </c>
      <c r="T234" s="41" t="e">
        <f>(1*10^7)/Table4[[#This Row],[nm12]]</f>
        <v>#DIV/0!</v>
      </c>
      <c r="Z234" s="28"/>
      <c r="AA234" s="28"/>
      <c r="AB234" s="28" t="e">
        <f>(1/Table4[[#This Row],[nm5]])*10^7</f>
        <v>#DIV/0!</v>
      </c>
      <c r="AC234" s="28"/>
      <c r="AD234" s="28" t="e">
        <f>(1/Table4[[#This Row],[nm8]])*10^7</f>
        <v>#DIV/0!</v>
      </c>
      <c r="AE234" s="28"/>
      <c r="AF234" s="28" t="e">
        <f>(1/Table4[[#This Row],[nm9]])*10^7</f>
        <v>#DIV/0!</v>
      </c>
      <c r="AG234" s="28"/>
      <c r="AH234" s="28"/>
      <c r="AI234" s="28" t="e">
        <f>(1/Table4[[#This Row],[nm4]])*10^7</f>
        <v>#DIV/0!</v>
      </c>
      <c r="AJ234" s="28"/>
      <c r="AK234" s="28" t="e">
        <f>(1/Table4[[#This Row],[nm14]])*10^7</f>
        <v>#DIV/0!</v>
      </c>
      <c r="AL234" s="28"/>
      <c r="AM234" s="28"/>
      <c r="AN234" s="28" t="e">
        <f>(1/Table4[[#This Row],[nm28]])*10^7</f>
        <v>#DIV/0!</v>
      </c>
      <c r="AO234" s="28"/>
      <c r="AP234" s="28" t="e">
        <f>(1/Table4[[#This Row],[nm10]])*10^7</f>
        <v>#DIV/0!</v>
      </c>
      <c r="AQ234" s="28"/>
      <c r="AR234" s="28" t="e">
        <f>(1/Table4[[#This Row],[nm11]])*10^7</f>
        <v>#DIV/0!</v>
      </c>
      <c r="AS234" s="28"/>
      <c r="AT234" s="28">
        <f>Table4[[#This Row],[Φ]]*100</f>
        <v>0</v>
      </c>
      <c r="AU234" s="28"/>
      <c r="AV234" s="28"/>
    </row>
    <row r="235" spans="3:48" x14ac:dyDescent="0.3">
      <c r="C235" s="27" t="e">
        <f>VLOOKUP(Table4[[#This Row],[Marker name]],BaseInfos_Table[#All],6,FALSE)</f>
        <v>#N/A</v>
      </c>
      <c r="G235" s="41" t="e">
        <f>(1*10^7)/Table4[[#This Row],[cm-1]]</f>
        <v>#DIV/0!</v>
      </c>
      <c r="I235" s="41" t="e">
        <f>(1*10^7)/Table4[[#This Row],[cm-2]]</f>
        <v>#DIV/0!</v>
      </c>
      <c r="K235" s="41" t="e">
        <f>(1*10^7)/Table4[[#This Row],[cm-3]]</f>
        <v>#DIV/0!</v>
      </c>
      <c r="R235" s="41" t="e">
        <f>(1*10^7)/Table4[[#This Row],[nm2]]</f>
        <v>#DIV/0!</v>
      </c>
      <c r="T235" s="41" t="e">
        <f>(1*10^7)/Table4[[#This Row],[nm12]]</f>
        <v>#DIV/0!</v>
      </c>
      <c r="Z235" s="28"/>
      <c r="AA235" s="28"/>
      <c r="AB235" s="28" t="e">
        <f>(1/Table4[[#This Row],[nm5]])*10^7</f>
        <v>#DIV/0!</v>
      </c>
      <c r="AC235" s="28"/>
      <c r="AD235" s="28" t="e">
        <f>(1/Table4[[#This Row],[nm8]])*10^7</f>
        <v>#DIV/0!</v>
      </c>
      <c r="AE235" s="28"/>
      <c r="AF235" s="28" t="e">
        <f>(1/Table4[[#This Row],[nm9]])*10^7</f>
        <v>#DIV/0!</v>
      </c>
      <c r="AG235" s="28"/>
      <c r="AH235" s="28"/>
      <c r="AI235" s="28" t="e">
        <f>(1/Table4[[#This Row],[nm4]])*10^7</f>
        <v>#DIV/0!</v>
      </c>
      <c r="AJ235" s="28"/>
      <c r="AK235" s="28" t="e">
        <f>(1/Table4[[#This Row],[nm14]])*10^7</f>
        <v>#DIV/0!</v>
      </c>
      <c r="AL235" s="28"/>
      <c r="AM235" s="28"/>
      <c r="AN235" s="28" t="e">
        <f>(1/Table4[[#This Row],[nm28]])*10^7</f>
        <v>#DIV/0!</v>
      </c>
      <c r="AO235" s="28"/>
      <c r="AP235" s="28" t="e">
        <f>(1/Table4[[#This Row],[nm10]])*10^7</f>
        <v>#DIV/0!</v>
      </c>
      <c r="AQ235" s="28"/>
      <c r="AR235" s="28" t="e">
        <f>(1/Table4[[#This Row],[nm11]])*10^7</f>
        <v>#DIV/0!</v>
      </c>
      <c r="AS235" s="28"/>
      <c r="AT235" s="28">
        <f>Table4[[#This Row],[Φ]]*100</f>
        <v>0</v>
      </c>
      <c r="AU235" s="28"/>
      <c r="AV235" s="28"/>
    </row>
    <row r="236" spans="3:48" x14ac:dyDescent="0.3">
      <c r="C236" s="27" t="e">
        <f>VLOOKUP(Table4[[#This Row],[Marker name]],BaseInfos_Table[#All],6,FALSE)</f>
        <v>#N/A</v>
      </c>
      <c r="G236" s="41" t="e">
        <f>(1*10^7)/Table4[[#This Row],[cm-1]]</f>
        <v>#DIV/0!</v>
      </c>
      <c r="I236" s="41" t="e">
        <f>(1*10^7)/Table4[[#This Row],[cm-2]]</f>
        <v>#DIV/0!</v>
      </c>
      <c r="K236" s="41" t="e">
        <f>(1*10^7)/Table4[[#This Row],[cm-3]]</f>
        <v>#DIV/0!</v>
      </c>
      <c r="R236" s="41" t="e">
        <f>(1*10^7)/Table4[[#This Row],[nm2]]</f>
        <v>#DIV/0!</v>
      </c>
      <c r="T236" s="41" t="e">
        <f>(1*10^7)/Table4[[#This Row],[nm12]]</f>
        <v>#DIV/0!</v>
      </c>
      <c r="Z236" s="28"/>
      <c r="AA236" s="28"/>
      <c r="AB236" s="28" t="e">
        <f>(1/Table4[[#This Row],[nm5]])*10^7</f>
        <v>#DIV/0!</v>
      </c>
      <c r="AC236" s="28"/>
      <c r="AD236" s="28" t="e">
        <f>(1/Table4[[#This Row],[nm8]])*10^7</f>
        <v>#DIV/0!</v>
      </c>
      <c r="AE236" s="28"/>
      <c r="AF236" s="28" t="e">
        <f>(1/Table4[[#This Row],[nm9]])*10^7</f>
        <v>#DIV/0!</v>
      </c>
      <c r="AG236" s="28"/>
      <c r="AH236" s="28"/>
      <c r="AI236" s="28" t="e">
        <f>(1/Table4[[#This Row],[nm4]])*10^7</f>
        <v>#DIV/0!</v>
      </c>
      <c r="AJ236" s="28"/>
      <c r="AK236" s="28" t="e">
        <f>(1/Table4[[#This Row],[nm14]])*10^7</f>
        <v>#DIV/0!</v>
      </c>
      <c r="AL236" s="28"/>
      <c r="AM236" s="28"/>
      <c r="AN236" s="28" t="e">
        <f>(1/Table4[[#This Row],[nm28]])*10^7</f>
        <v>#DIV/0!</v>
      </c>
      <c r="AO236" s="28"/>
      <c r="AP236" s="28" t="e">
        <f>(1/Table4[[#This Row],[nm10]])*10^7</f>
        <v>#DIV/0!</v>
      </c>
      <c r="AQ236" s="28"/>
      <c r="AR236" s="28" t="e">
        <f>(1/Table4[[#This Row],[nm11]])*10^7</f>
        <v>#DIV/0!</v>
      </c>
      <c r="AS236" s="28"/>
      <c r="AT236" s="28">
        <f>Table4[[#This Row],[Φ]]*100</f>
        <v>0</v>
      </c>
      <c r="AU236" s="28"/>
      <c r="AV236" s="28"/>
    </row>
    <row r="237" spans="3:48" x14ac:dyDescent="0.3">
      <c r="C237" s="27" t="e">
        <f>VLOOKUP(Table4[[#This Row],[Marker name]],BaseInfos_Table[#All],6,FALSE)</f>
        <v>#N/A</v>
      </c>
      <c r="G237" s="41" t="e">
        <f>(1*10^7)/Table4[[#This Row],[cm-1]]</f>
        <v>#DIV/0!</v>
      </c>
      <c r="I237" s="41" t="e">
        <f>(1*10^7)/Table4[[#This Row],[cm-2]]</f>
        <v>#DIV/0!</v>
      </c>
      <c r="K237" s="41" t="e">
        <f>(1*10^7)/Table4[[#This Row],[cm-3]]</f>
        <v>#DIV/0!</v>
      </c>
      <c r="R237" s="41" t="e">
        <f>(1*10^7)/Table4[[#This Row],[nm2]]</f>
        <v>#DIV/0!</v>
      </c>
      <c r="T237" s="41" t="e">
        <f>(1*10^7)/Table4[[#This Row],[nm12]]</f>
        <v>#DIV/0!</v>
      </c>
      <c r="Z237" s="28"/>
      <c r="AA237" s="28"/>
      <c r="AB237" s="28" t="e">
        <f>(1/Table4[[#This Row],[nm5]])*10^7</f>
        <v>#DIV/0!</v>
      </c>
      <c r="AC237" s="28"/>
      <c r="AD237" s="28" t="e">
        <f>(1/Table4[[#This Row],[nm8]])*10^7</f>
        <v>#DIV/0!</v>
      </c>
      <c r="AE237" s="28"/>
      <c r="AF237" s="28" t="e">
        <f>(1/Table4[[#This Row],[nm9]])*10^7</f>
        <v>#DIV/0!</v>
      </c>
      <c r="AG237" s="28"/>
      <c r="AH237" s="28"/>
      <c r="AI237" s="28" t="e">
        <f>(1/Table4[[#This Row],[nm4]])*10^7</f>
        <v>#DIV/0!</v>
      </c>
      <c r="AJ237" s="28"/>
      <c r="AK237" s="28" t="e">
        <f>(1/Table4[[#This Row],[nm14]])*10^7</f>
        <v>#DIV/0!</v>
      </c>
      <c r="AL237" s="28"/>
      <c r="AM237" s="28"/>
      <c r="AN237" s="28" t="e">
        <f>(1/Table4[[#This Row],[nm28]])*10^7</f>
        <v>#DIV/0!</v>
      </c>
      <c r="AO237" s="28"/>
      <c r="AP237" s="28" t="e">
        <f>(1/Table4[[#This Row],[nm10]])*10^7</f>
        <v>#DIV/0!</v>
      </c>
      <c r="AQ237" s="28"/>
      <c r="AR237" s="28" t="e">
        <f>(1/Table4[[#This Row],[nm11]])*10^7</f>
        <v>#DIV/0!</v>
      </c>
      <c r="AS237" s="28"/>
      <c r="AT237" s="28">
        <f>Table4[[#This Row],[Φ]]*100</f>
        <v>0</v>
      </c>
      <c r="AU237" s="28"/>
      <c r="AV237" s="28"/>
    </row>
    <row r="238" spans="3:48" x14ac:dyDescent="0.3">
      <c r="C238" s="27" t="e">
        <f>VLOOKUP(Table4[[#This Row],[Marker name]],BaseInfos_Table[#All],6,FALSE)</f>
        <v>#N/A</v>
      </c>
      <c r="G238" s="41" t="e">
        <f>(1*10^7)/Table4[[#This Row],[cm-1]]</f>
        <v>#DIV/0!</v>
      </c>
      <c r="I238" s="41" t="e">
        <f>(1*10^7)/Table4[[#This Row],[cm-2]]</f>
        <v>#DIV/0!</v>
      </c>
      <c r="K238" s="41" t="e">
        <f>(1*10^7)/Table4[[#This Row],[cm-3]]</f>
        <v>#DIV/0!</v>
      </c>
      <c r="R238" s="41" t="e">
        <f>(1*10^7)/Table4[[#This Row],[nm2]]</f>
        <v>#DIV/0!</v>
      </c>
      <c r="T238" s="41" t="e">
        <f>(1*10^7)/Table4[[#This Row],[nm12]]</f>
        <v>#DIV/0!</v>
      </c>
      <c r="Z238" s="28"/>
      <c r="AA238" s="28"/>
      <c r="AB238" s="28" t="e">
        <f>(1/Table4[[#This Row],[nm5]])*10^7</f>
        <v>#DIV/0!</v>
      </c>
      <c r="AC238" s="28"/>
      <c r="AD238" s="28" t="e">
        <f>(1/Table4[[#This Row],[nm8]])*10^7</f>
        <v>#DIV/0!</v>
      </c>
      <c r="AE238" s="28"/>
      <c r="AF238" s="28" t="e">
        <f>(1/Table4[[#This Row],[nm9]])*10^7</f>
        <v>#DIV/0!</v>
      </c>
      <c r="AG238" s="28"/>
      <c r="AH238" s="28"/>
      <c r="AI238" s="28" t="e">
        <f>(1/Table4[[#This Row],[nm4]])*10^7</f>
        <v>#DIV/0!</v>
      </c>
      <c r="AJ238" s="28"/>
      <c r="AK238" s="28" t="e">
        <f>(1/Table4[[#This Row],[nm14]])*10^7</f>
        <v>#DIV/0!</v>
      </c>
      <c r="AL238" s="28"/>
      <c r="AM238" s="28"/>
      <c r="AN238" s="28" t="e">
        <f>(1/Table4[[#This Row],[nm28]])*10^7</f>
        <v>#DIV/0!</v>
      </c>
      <c r="AO238" s="28"/>
      <c r="AP238" s="28" t="e">
        <f>(1/Table4[[#This Row],[nm10]])*10^7</f>
        <v>#DIV/0!</v>
      </c>
      <c r="AQ238" s="28"/>
      <c r="AR238" s="28" t="e">
        <f>(1/Table4[[#This Row],[nm11]])*10^7</f>
        <v>#DIV/0!</v>
      </c>
      <c r="AS238" s="28"/>
      <c r="AT238" s="28">
        <f>Table4[[#This Row],[Φ]]*100</f>
        <v>0</v>
      </c>
      <c r="AU238" s="28"/>
      <c r="AV238" s="28"/>
    </row>
    <row r="239" spans="3:48" x14ac:dyDescent="0.3">
      <c r="C239" s="27" t="e">
        <f>VLOOKUP(Table4[[#This Row],[Marker name]],BaseInfos_Table[#All],6,FALSE)</f>
        <v>#N/A</v>
      </c>
      <c r="G239" s="41" t="e">
        <f>(1*10^7)/Table4[[#This Row],[cm-1]]</f>
        <v>#DIV/0!</v>
      </c>
      <c r="I239" s="41" t="e">
        <f>(1*10^7)/Table4[[#This Row],[cm-2]]</f>
        <v>#DIV/0!</v>
      </c>
      <c r="K239" s="41" t="e">
        <f>(1*10^7)/Table4[[#This Row],[cm-3]]</f>
        <v>#DIV/0!</v>
      </c>
      <c r="R239" s="41" t="e">
        <f>(1*10^7)/Table4[[#This Row],[nm2]]</f>
        <v>#DIV/0!</v>
      </c>
      <c r="T239" s="41" t="e">
        <f>(1*10^7)/Table4[[#This Row],[nm12]]</f>
        <v>#DIV/0!</v>
      </c>
      <c r="Z239" s="28"/>
      <c r="AA239" s="28"/>
      <c r="AB239" s="28" t="e">
        <f>(1/Table4[[#This Row],[nm5]])*10^7</f>
        <v>#DIV/0!</v>
      </c>
      <c r="AC239" s="28"/>
      <c r="AD239" s="28" t="e">
        <f>(1/Table4[[#This Row],[nm8]])*10^7</f>
        <v>#DIV/0!</v>
      </c>
      <c r="AE239" s="28"/>
      <c r="AF239" s="28" t="e">
        <f>(1/Table4[[#This Row],[nm9]])*10^7</f>
        <v>#DIV/0!</v>
      </c>
      <c r="AG239" s="28"/>
      <c r="AH239" s="28"/>
      <c r="AI239" s="28" t="e">
        <f>(1/Table4[[#This Row],[nm4]])*10^7</f>
        <v>#DIV/0!</v>
      </c>
      <c r="AJ239" s="28"/>
      <c r="AK239" s="28" t="e">
        <f>(1/Table4[[#This Row],[nm14]])*10^7</f>
        <v>#DIV/0!</v>
      </c>
      <c r="AL239" s="28"/>
      <c r="AM239" s="28"/>
      <c r="AN239" s="28" t="e">
        <f>(1/Table4[[#This Row],[nm28]])*10^7</f>
        <v>#DIV/0!</v>
      </c>
      <c r="AO239" s="28"/>
      <c r="AP239" s="28" t="e">
        <f>(1/Table4[[#This Row],[nm10]])*10^7</f>
        <v>#DIV/0!</v>
      </c>
      <c r="AQ239" s="28"/>
      <c r="AR239" s="28" t="e">
        <f>(1/Table4[[#This Row],[nm11]])*10^7</f>
        <v>#DIV/0!</v>
      </c>
      <c r="AS239" s="28"/>
      <c r="AT239" s="28">
        <f>Table4[[#This Row],[Φ]]*100</f>
        <v>0</v>
      </c>
      <c r="AU239" s="28"/>
      <c r="AV239" s="28"/>
    </row>
    <row r="240" spans="3:48" x14ac:dyDescent="0.3">
      <c r="C240" s="27" t="e">
        <f>VLOOKUP(Table4[[#This Row],[Marker name]],BaseInfos_Table[#All],6,FALSE)</f>
        <v>#N/A</v>
      </c>
      <c r="G240" s="41" t="e">
        <f>(1*10^7)/Table4[[#This Row],[cm-1]]</f>
        <v>#DIV/0!</v>
      </c>
      <c r="I240" s="41" t="e">
        <f>(1*10^7)/Table4[[#This Row],[cm-2]]</f>
        <v>#DIV/0!</v>
      </c>
      <c r="K240" s="41" t="e">
        <f>(1*10^7)/Table4[[#This Row],[cm-3]]</f>
        <v>#DIV/0!</v>
      </c>
      <c r="R240" s="41" t="e">
        <f>(1*10^7)/Table4[[#This Row],[nm2]]</f>
        <v>#DIV/0!</v>
      </c>
      <c r="T240" s="41" t="e">
        <f>(1*10^7)/Table4[[#This Row],[nm12]]</f>
        <v>#DIV/0!</v>
      </c>
      <c r="Z240" s="28"/>
      <c r="AA240" s="28"/>
      <c r="AB240" s="28" t="e">
        <f>(1/Table4[[#This Row],[nm5]])*10^7</f>
        <v>#DIV/0!</v>
      </c>
      <c r="AC240" s="28"/>
      <c r="AD240" s="28" t="e">
        <f>(1/Table4[[#This Row],[nm8]])*10^7</f>
        <v>#DIV/0!</v>
      </c>
      <c r="AE240" s="28"/>
      <c r="AF240" s="28" t="e">
        <f>(1/Table4[[#This Row],[nm9]])*10^7</f>
        <v>#DIV/0!</v>
      </c>
      <c r="AG240" s="28"/>
      <c r="AH240" s="28"/>
      <c r="AI240" s="28" t="e">
        <f>(1/Table4[[#This Row],[nm4]])*10^7</f>
        <v>#DIV/0!</v>
      </c>
      <c r="AJ240" s="28"/>
      <c r="AK240" s="28" t="e">
        <f>(1/Table4[[#This Row],[nm14]])*10^7</f>
        <v>#DIV/0!</v>
      </c>
      <c r="AL240" s="28"/>
      <c r="AM240" s="28"/>
      <c r="AN240" s="28" t="e">
        <f>(1/Table4[[#This Row],[nm28]])*10^7</f>
        <v>#DIV/0!</v>
      </c>
      <c r="AO240" s="28"/>
      <c r="AP240" s="28" t="e">
        <f>(1/Table4[[#This Row],[nm10]])*10^7</f>
        <v>#DIV/0!</v>
      </c>
      <c r="AQ240" s="28"/>
      <c r="AR240" s="28" t="e">
        <f>(1/Table4[[#This Row],[nm11]])*10^7</f>
        <v>#DIV/0!</v>
      </c>
      <c r="AS240" s="28"/>
      <c r="AT240" s="28">
        <f>Table4[[#This Row],[Φ]]*100</f>
        <v>0</v>
      </c>
      <c r="AU240" s="28"/>
      <c r="AV240" s="28"/>
    </row>
    <row r="241" spans="3:48" x14ac:dyDescent="0.3">
      <c r="C241" s="27" t="e">
        <f>VLOOKUP(Table4[[#This Row],[Marker name]],BaseInfos_Table[#All],6,FALSE)</f>
        <v>#N/A</v>
      </c>
      <c r="G241" s="41" t="e">
        <f>(1*10^7)/Table4[[#This Row],[cm-1]]</f>
        <v>#DIV/0!</v>
      </c>
      <c r="I241" s="41" t="e">
        <f>(1*10^7)/Table4[[#This Row],[cm-2]]</f>
        <v>#DIV/0!</v>
      </c>
      <c r="K241" s="41" t="e">
        <f>(1*10^7)/Table4[[#This Row],[cm-3]]</f>
        <v>#DIV/0!</v>
      </c>
      <c r="R241" s="41" t="e">
        <f>(1*10^7)/Table4[[#This Row],[nm2]]</f>
        <v>#DIV/0!</v>
      </c>
      <c r="T241" s="41" t="e">
        <f>(1*10^7)/Table4[[#This Row],[nm12]]</f>
        <v>#DIV/0!</v>
      </c>
      <c r="Z241" s="28"/>
      <c r="AA241" s="28"/>
      <c r="AB241" s="28" t="e">
        <f>(1/Table4[[#This Row],[nm5]])*10^7</f>
        <v>#DIV/0!</v>
      </c>
      <c r="AC241" s="28"/>
      <c r="AD241" s="28" t="e">
        <f>(1/Table4[[#This Row],[nm8]])*10^7</f>
        <v>#DIV/0!</v>
      </c>
      <c r="AE241" s="28"/>
      <c r="AF241" s="28" t="e">
        <f>(1/Table4[[#This Row],[nm9]])*10^7</f>
        <v>#DIV/0!</v>
      </c>
      <c r="AG241" s="28"/>
      <c r="AH241" s="28"/>
      <c r="AI241" s="28" t="e">
        <f>(1/Table4[[#This Row],[nm4]])*10^7</f>
        <v>#DIV/0!</v>
      </c>
      <c r="AJ241" s="28"/>
      <c r="AK241" s="28" t="e">
        <f>(1/Table4[[#This Row],[nm14]])*10^7</f>
        <v>#DIV/0!</v>
      </c>
      <c r="AL241" s="28"/>
      <c r="AM241" s="28"/>
      <c r="AN241" s="28" t="e">
        <f>(1/Table4[[#This Row],[nm28]])*10^7</f>
        <v>#DIV/0!</v>
      </c>
      <c r="AO241" s="28"/>
      <c r="AP241" s="28" t="e">
        <f>(1/Table4[[#This Row],[nm10]])*10^7</f>
        <v>#DIV/0!</v>
      </c>
      <c r="AQ241" s="28"/>
      <c r="AR241" s="28" t="e">
        <f>(1/Table4[[#This Row],[nm11]])*10^7</f>
        <v>#DIV/0!</v>
      </c>
      <c r="AS241" s="28"/>
      <c r="AT241" s="28">
        <f>Table4[[#This Row],[Φ]]*100</f>
        <v>0</v>
      </c>
      <c r="AU241" s="28"/>
      <c r="AV241" s="28"/>
    </row>
    <row r="242" spans="3:48" x14ac:dyDescent="0.3">
      <c r="C242" s="27" t="e">
        <f>VLOOKUP(Table4[[#This Row],[Marker name]],BaseInfos_Table[#All],6,FALSE)</f>
        <v>#N/A</v>
      </c>
      <c r="G242" s="41" t="e">
        <f>(1*10^7)/Table4[[#This Row],[cm-1]]</f>
        <v>#DIV/0!</v>
      </c>
      <c r="I242" s="41" t="e">
        <f>(1*10^7)/Table4[[#This Row],[cm-2]]</f>
        <v>#DIV/0!</v>
      </c>
      <c r="K242" s="41" t="e">
        <f>(1*10^7)/Table4[[#This Row],[cm-3]]</f>
        <v>#DIV/0!</v>
      </c>
      <c r="R242" s="41" t="e">
        <f>(1*10^7)/Table4[[#This Row],[nm2]]</f>
        <v>#DIV/0!</v>
      </c>
      <c r="T242" s="41" t="e">
        <f>(1*10^7)/Table4[[#This Row],[nm12]]</f>
        <v>#DIV/0!</v>
      </c>
      <c r="Z242" s="28"/>
      <c r="AA242" s="28"/>
      <c r="AB242" s="28" t="e">
        <f>(1/Table4[[#This Row],[nm5]])*10^7</f>
        <v>#DIV/0!</v>
      </c>
      <c r="AC242" s="28"/>
      <c r="AD242" s="28" t="e">
        <f>(1/Table4[[#This Row],[nm8]])*10^7</f>
        <v>#DIV/0!</v>
      </c>
      <c r="AE242" s="28"/>
      <c r="AF242" s="28" t="e">
        <f>(1/Table4[[#This Row],[nm9]])*10^7</f>
        <v>#DIV/0!</v>
      </c>
      <c r="AG242" s="28"/>
      <c r="AH242" s="28"/>
      <c r="AI242" s="28" t="e">
        <f>(1/Table4[[#This Row],[nm4]])*10^7</f>
        <v>#DIV/0!</v>
      </c>
      <c r="AJ242" s="28"/>
      <c r="AK242" s="28" t="e">
        <f>(1/Table4[[#This Row],[nm14]])*10^7</f>
        <v>#DIV/0!</v>
      </c>
      <c r="AL242" s="28"/>
      <c r="AM242" s="28"/>
      <c r="AN242" s="28" t="e">
        <f>(1/Table4[[#This Row],[nm28]])*10^7</f>
        <v>#DIV/0!</v>
      </c>
      <c r="AO242" s="28"/>
      <c r="AP242" s="28" t="e">
        <f>(1/Table4[[#This Row],[nm10]])*10^7</f>
        <v>#DIV/0!</v>
      </c>
      <c r="AQ242" s="28"/>
      <c r="AR242" s="28" t="e">
        <f>(1/Table4[[#This Row],[nm11]])*10^7</f>
        <v>#DIV/0!</v>
      </c>
      <c r="AS242" s="28"/>
      <c r="AT242" s="28">
        <f>Table4[[#This Row],[Φ]]*100</f>
        <v>0</v>
      </c>
      <c r="AU242" s="28"/>
      <c r="AV242" s="28"/>
    </row>
    <row r="243" spans="3:48" x14ac:dyDescent="0.3">
      <c r="C243" s="27" t="e">
        <f>VLOOKUP(Table4[[#This Row],[Marker name]],BaseInfos_Table[#All],6,FALSE)</f>
        <v>#N/A</v>
      </c>
      <c r="G243" s="41" t="e">
        <f>(1*10^7)/Table4[[#This Row],[cm-1]]</f>
        <v>#DIV/0!</v>
      </c>
      <c r="I243" s="41" t="e">
        <f>(1*10^7)/Table4[[#This Row],[cm-2]]</f>
        <v>#DIV/0!</v>
      </c>
      <c r="K243" s="41" t="e">
        <f>(1*10^7)/Table4[[#This Row],[cm-3]]</f>
        <v>#DIV/0!</v>
      </c>
      <c r="R243" s="41" t="e">
        <f>(1*10^7)/Table4[[#This Row],[nm2]]</f>
        <v>#DIV/0!</v>
      </c>
      <c r="T243" s="41" t="e">
        <f>(1*10^7)/Table4[[#This Row],[nm12]]</f>
        <v>#DIV/0!</v>
      </c>
      <c r="Z243" s="28"/>
      <c r="AA243" s="28"/>
      <c r="AB243" s="28" t="e">
        <f>(1/Table4[[#This Row],[nm5]])*10^7</f>
        <v>#DIV/0!</v>
      </c>
      <c r="AC243" s="28"/>
      <c r="AD243" s="28" t="e">
        <f>(1/Table4[[#This Row],[nm8]])*10^7</f>
        <v>#DIV/0!</v>
      </c>
      <c r="AE243" s="28"/>
      <c r="AF243" s="28" t="e">
        <f>(1/Table4[[#This Row],[nm9]])*10^7</f>
        <v>#DIV/0!</v>
      </c>
      <c r="AG243" s="28"/>
      <c r="AH243" s="28"/>
      <c r="AI243" s="28" t="e">
        <f>(1/Table4[[#This Row],[nm4]])*10^7</f>
        <v>#DIV/0!</v>
      </c>
      <c r="AJ243" s="28"/>
      <c r="AK243" s="28" t="e">
        <f>(1/Table4[[#This Row],[nm14]])*10^7</f>
        <v>#DIV/0!</v>
      </c>
      <c r="AL243" s="28"/>
      <c r="AM243" s="28"/>
      <c r="AN243" s="28" t="e">
        <f>(1/Table4[[#This Row],[nm28]])*10^7</f>
        <v>#DIV/0!</v>
      </c>
      <c r="AO243" s="28"/>
      <c r="AP243" s="28" t="e">
        <f>(1/Table4[[#This Row],[nm10]])*10^7</f>
        <v>#DIV/0!</v>
      </c>
      <c r="AQ243" s="28"/>
      <c r="AR243" s="28" t="e">
        <f>(1/Table4[[#This Row],[nm11]])*10^7</f>
        <v>#DIV/0!</v>
      </c>
      <c r="AS243" s="28"/>
      <c r="AT243" s="28">
        <f>Table4[[#This Row],[Φ]]*100</f>
        <v>0</v>
      </c>
      <c r="AU243" s="28"/>
      <c r="AV243" s="28"/>
    </row>
    <row r="244" spans="3:48" x14ac:dyDescent="0.3">
      <c r="C244" s="27" t="e">
        <f>VLOOKUP(Table4[[#This Row],[Marker name]],BaseInfos_Table[#All],6,FALSE)</f>
        <v>#N/A</v>
      </c>
      <c r="G244" s="41" t="e">
        <f>(1*10^7)/Table4[[#This Row],[cm-1]]</f>
        <v>#DIV/0!</v>
      </c>
      <c r="I244" s="41" t="e">
        <f>(1*10^7)/Table4[[#This Row],[cm-2]]</f>
        <v>#DIV/0!</v>
      </c>
      <c r="K244" s="41" t="e">
        <f>(1*10^7)/Table4[[#This Row],[cm-3]]</f>
        <v>#DIV/0!</v>
      </c>
      <c r="R244" s="41" t="e">
        <f>(1*10^7)/Table4[[#This Row],[nm2]]</f>
        <v>#DIV/0!</v>
      </c>
      <c r="T244" s="41" t="e">
        <f>(1*10^7)/Table4[[#This Row],[nm12]]</f>
        <v>#DIV/0!</v>
      </c>
      <c r="Z244" s="28"/>
      <c r="AA244" s="28"/>
      <c r="AB244" s="28" t="e">
        <f>(1/Table4[[#This Row],[nm5]])*10^7</f>
        <v>#DIV/0!</v>
      </c>
      <c r="AC244" s="28"/>
      <c r="AD244" s="28" t="e">
        <f>(1/Table4[[#This Row],[nm8]])*10^7</f>
        <v>#DIV/0!</v>
      </c>
      <c r="AE244" s="28"/>
      <c r="AF244" s="28" t="e">
        <f>(1/Table4[[#This Row],[nm9]])*10^7</f>
        <v>#DIV/0!</v>
      </c>
      <c r="AG244" s="28"/>
      <c r="AH244" s="28"/>
      <c r="AI244" s="28" t="e">
        <f>(1/Table4[[#This Row],[nm4]])*10^7</f>
        <v>#DIV/0!</v>
      </c>
      <c r="AJ244" s="28"/>
      <c r="AK244" s="28" t="e">
        <f>(1/Table4[[#This Row],[nm14]])*10^7</f>
        <v>#DIV/0!</v>
      </c>
      <c r="AL244" s="28"/>
      <c r="AM244" s="28"/>
      <c r="AN244" s="28" t="e">
        <f>(1/Table4[[#This Row],[nm28]])*10^7</f>
        <v>#DIV/0!</v>
      </c>
      <c r="AO244" s="28"/>
      <c r="AP244" s="28" t="e">
        <f>(1/Table4[[#This Row],[nm10]])*10^7</f>
        <v>#DIV/0!</v>
      </c>
      <c r="AQ244" s="28"/>
      <c r="AR244" s="28" t="e">
        <f>(1/Table4[[#This Row],[nm11]])*10^7</f>
        <v>#DIV/0!</v>
      </c>
      <c r="AS244" s="28"/>
      <c r="AT244" s="28">
        <f>Table4[[#This Row],[Φ]]*100</f>
        <v>0</v>
      </c>
      <c r="AU244" s="28"/>
      <c r="AV244" s="28"/>
    </row>
    <row r="245" spans="3:48" x14ac:dyDescent="0.3">
      <c r="C245" s="27" t="e">
        <f>VLOOKUP(Table4[[#This Row],[Marker name]],BaseInfos_Table[#All],6,FALSE)</f>
        <v>#N/A</v>
      </c>
      <c r="G245" s="41" t="e">
        <f>(1*10^7)/Table4[[#This Row],[cm-1]]</f>
        <v>#DIV/0!</v>
      </c>
      <c r="I245" s="41" t="e">
        <f>(1*10^7)/Table4[[#This Row],[cm-2]]</f>
        <v>#DIV/0!</v>
      </c>
      <c r="K245" s="41" t="e">
        <f>(1*10^7)/Table4[[#This Row],[cm-3]]</f>
        <v>#DIV/0!</v>
      </c>
      <c r="R245" s="41" t="e">
        <f>(1*10^7)/Table4[[#This Row],[nm2]]</f>
        <v>#DIV/0!</v>
      </c>
      <c r="T245" s="41" t="e">
        <f>(1*10^7)/Table4[[#This Row],[nm12]]</f>
        <v>#DIV/0!</v>
      </c>
      <c r="Z245" s="28"/>
      <c r="AA245" s="28"/>
      <c r="AB245" s="28" t="e">
        <f>(1/Table4[[#This Row],[nm5]])*10^7</f>
        <v>#DIV/0!</v>
      </c>
      <c r="AC245" s="28"/>
      <c r="AD245" s="28" t="e">
        <f>(1/Table4[[#This Row],[nm8]])*10^7</f>
        <v>#DIV/0!</v>
      </c>
      <c r="AE245" s="28"/>
      <c r="AF245" s="28" t="e">
        <f>(1/Table4[[#This Row],[nm9]])*10^7</f>
        <v>#DIV/0!</v>
      </c>
      <c r="AG245" s="28"/>
      <c r="AH245" s="28"/>
      <c r="AI245" s="28" t="e">
        <f>(1/Table4[[#This Row],[nm4]])*10^7</f>
        <v>#DIV/0!</v>
      </c>
      <c r="AJ245" s="28"/>
      <c r="AK245" s="28" t="e">
        <f>(1/Table4[[#This Row],[nm14]])*10^7</f>
        <v>#DIV/0!</v>
      </c>
      <c r="AL245" s="28"/>
      <c r="AM245" s="28"/>
      <c r="AN245" s="28" t="e">
        <f>(1/Table4[[#This Row],[nm28]])*10^7</f>
        <v>#DIV/0!</v>
      </c>
      <c r="AO245" s="28"/>
      <c r="AP245" s="28" t="e">
        <f>(1/Table4[[#This Row],[nm10]])*10^7</f>
        <v>#DIV/0!</v>
      </c>
      <c r="AQ245" s="28"/>
      <c r="AR245" s="28" t="e">
        <f>(1/Table4[[#This Row],[nm11]])*10^7</f>
        <v>#DIV/0!</v>
      </c>
      <c r="AS245" s="28"/>
      <c r="AT245" s="28">
        <f>Table4[[#This Row],[Φ]]*100</f>
        <v>0</v>
      </c>
      <c r="AU245" s="28"/>
      <c r="AV245" s="28"/>
    </row>
    <row r="246" spans="3:48" x14ac:dyDescent="0.3">
      <c r="C246" s="27" t="e">
        <f>VLOOKUP(Table4[[#This Row],[Marker name]],BaseInfos_Table[#All],6,FALSE)</f>
        <v>#N/A</v>
      </c>
      <c r="G246" s="41" t="e">
        <f>(1*10^7)/Table4[[#This Row],[cm-1]]</f>
        <v>#DIV/0!</v>
      </c>
      <c r="I246" s="41" t="e">
        <f>(1*10^7)/Table4[[#This Row],[cm-2]]</f>
        <v>#DIV/0!</v>
      </c>
      <c r="K246" s="41" t="e">
        <f>(1*10^7)/Table4[[#This Row],[cm-3]]</f>
        <v>#DIV/0!</v>
      </c>
      <c r="R246" s="41" t="e">
        <f>(1*10^7)/Table4[[#This Row],[nm2]]</f>
        <v>#DIV/0!</v>
      </c>
      <c r="T246" s="41" t="e">
        <f>(1*10^7)/Table4[[#This Row],[nm12]]</f>
        <v>#DIV/0!</v>
      </c>
      <c r="Z246" s="28"/>
      <c r="AA246" s="28"/>
      <c r="AB246" s="28" t="e">
        <f>(1/Table4[[#This Row],[nm5]])*10^7</f>
        <v>#DIV/0!</v>
      </c>
      <c r="AC246" s="28"/>
      <c r="AD246" s="28" t="e">
        <f>(1/Table4[[#This Row],[nm8]])*10^7</f>
        <v>#DIV/0!</v>
      </c>
      <c r="AE246" s="28"/>
      <c r="AF246" s="28" t="e">
        <f>(1/Table4[[#This Row],[nm9]])*10^7</f>
        <v>#DIV/0!</v>
      </c>
      <c r="AG246" s="28"/>
      <c r="AH246" s="28"/>
      <c r="AI246" s="28" t="e">
        <f>(1/Table4[[#This Row],[nm4]])*10^7</f>
        <v>#DIV/0!</v>
      </c>
      <c r="AJ246" s="28"/>
      <c r="AK246" s="28" t="e">
        <f>(1/Table4[[#This Row],[nm14]])*10^7</f>
        <v>#DIV/0!</v>
      </c>
      <c r="AL246" s="28"/>
      <c r="AM246" s="28"/>
      <c r="AN246" s="28" t="e">
        <f>(1/Table4[[#This Row],[nm28]])*10^7</f>
        <v>#DIV/0!</v>
      </c>
      <c r="AO246" s="28"/>
      <c r="AP246" s="28" t="e">
        <f>(1/Table4[[#This Row],[nm10]])*10^7</f>
        <v>#DIV/0!</v>
      </c>
      <c r="AQ246" s="28"/>
      <c r="AR246" s="28" t="e">
        <f>(1/Table4[[#This Row],[nm11]])*10^7</f>
        <v>#DIV/0!</v>
      </c>
      <c r="AS246" s="28"/>
      <c r="AT246" s="28">
        <f>Table4[[#This Row],[Φ]]*100</f>
        <v>0</v>
      </c>
      <c r="AU246" s="28"/>
      <c r="AV246" s="28"/>
    </row>
    <row r="247" spans="3:48" x14ac:dyDescent="0.3">
      <c r="C247" s="27" t="e">
        <f>VLOOKUP(Table4[[#This Row],[Marker name]],BaseInfos_Table[#All],6,FALSE)</f>
        <v>#N/A</v>
      </c>
      <c r="G247" s="41" t="e">
        <f>(1*10^7)/Table4[[#This Row],[cm-1]]</f>
        <v>#DIV/0!</v>
      </c>
      <c r="I247" s="41" t="e">
        <f>(1*10^7)/Table4[[#This Row],[cm-2]]</f>
        <v>#DIV/0!</v>
      </c>
      <c r="K247" s="41" t="e">
        <f>(1*10^7)/Table4[[#This Row],[cm-3]]</f>
        <v>#DIV/0!</v>
      </c>
      <c r="R247" s="41" t="e">
        <f>(1*10^7)/Table4[[#This Row],[nm2]]</f>
        <v>#DIV/0!</v>
      </c>
      <c r="T247" s="41" t="e">
        <f>(1*10^7)/Table4[[#This Row],[nm12]]</f>
        <v>#DIV/0!</v>
      </c>
      <c r="Z247" s="28"/>
      <c r="AA247" s="28"/>
      <c r="AB247" s="28" t="e">
        <f>(1/Table4[[#This Row],[nm5]])*10^7</f>
        <v>#DIV/0!</v>
      </c>
      <c r="AC247" s="28"/>
      <c r="AD247" s="28" t="e">
        <f>(1/Table4[[#This Row],[nm8]])*10^7</f>
        <v>#DIV/0!</v>
      </c>
      <c r="AE247" s="28"/>
      <c r="AF247" s="28" t="e">
        <f>(1/Table4[[#This Row],[nm9]])*10^7</f>
        <v>#DIV/0!</v>
      </c>
      <c r="AG247" s="28"/>
      <c r="AH247" s="28"/>
      <c r="AI247" s="28" t="e">
        <f>(1/Table4[[#This Row],[nm4]])*10^7</f>
        <v>#DIV/0!</v>
      </c>
      <c r="AJ247" s="28"/>
      <c r="AK247" s="28" t="e">
        <f>(1/Table4[[#This Row],[nm14]])*10^7</f>
        <v>#DIV/0!</v>
      </c>
      <c r="AL247" s="28"/>
      <c r="AM247" s="28"/>
      <c r="AN247" s="28" t="e">
        <f>(1/Table4[[#This Row],[nm28]])*10^7</f>
        <v>#DIV/0!</v>
      </c>
      <c r="AO247" s="28"/>
      <c r="AP247" s="28" t="e">
        <f>(1/Table4[[#This Row],[nm10]])*10^7</f>
        <v>#DIV/0!</v>
      </c>
      <c r="AQ247" s="28"/>
      <c r="AR247" s="28" t="e">
        <f>(1/Table4[[#This Row],[nm11]])*10^7</f>
        <v>#DIV/0!</v>
      </c>
      <c r="AS247" s="28"/>
      <c r="AT247" s="28">
        <f>Table4[[#This Row],[Φ]]*100</f>
        <v>0</v>
      </c>
      <c r="AU247" s="28"/>
      <c r="AV247" s="28"/>
    </row>
    <row r="248" spans="3:48" x14ac:dyDescent="0.3">
      <c r="C248" s="27" t="e">
        <f>VLOOKUP(Table4[[#This Row],[Marker name]],BaseInfos_Table[#All],6,FALSE)</f>
        <v>#N/A</v>
      </c>
      <c r="G248" s="41" t="e">
        <f>(1*10^7)/Table4[[#This Row],[cm-1]]</f>
        <v>#DIV/0!</v>
      </c>
      <c r="I248" s="41" t="e">
        <f>(1*10^7)/Table4[[#This Row],[cm-2]]</f>
        <v>#DIV/0!</v>
      </c>
      <c r="K248" s="41" t="e">
        <f>(1*10^7)/Table4[[#This Row],[cm-3]]</f>
        <v>#DIV/0!</v>
      </c>
      <c r="R248" s="41" t="e">
        <f>(1*10^7)/Table4[[#This Row],[nm2]]</f>
        <v>#DIV/0!</v>
      </c>
      <c r="T248" s="41" t="e">
        <f>(1*10^7)/Table4[[#This Row],[nm12]]</f>
        <v>#DIV/0!</v>
      </c>
      <c r="Z248" s="28"/>
      <c r="AA248" s="28"/>
      <c r="AB248" s="28" t="e">
        <f>(1/Table4[[#This Row],[nm5]])*10^7</f>
        <v>#DIV/0!</v>
      </c>
      <c r="AC248" s="28"/>
      <c r="AD248" s="28" t="e">
        <f>(1/Table4[[#This Row],[nm8]])*10^7</f>
        <v>#DIV/0!</v>
      </c>
      <c r="AE248" s="28"/>
      <c r="AF248" s="28" t="e">
        <f>(1/Table4[[#This Row],[nm9]])*10^7</f>
        <v>#DIV/0!</v>
      </c>
      <c r="AG248" s="28"/>
      <c r="AH248" s="28"/>
      <c r="AI248" s="28" t="e">
        <f>(1/Table4[[#This Row],[nm4]])*10^7</f>
        <v>#DIV/0!</v>
      </c>
      <c r="AJ248" s="28"/>
      <c r="AK248" s="28" t="e">
        <f>(1/Table4[[#This Row],[nm14]])*10^7</f>
        <v>#DIV/0!</v>
      </c>
      <c r="AL248" s="28"/>
      <c r="AM248" s="28"/>
      <c r="AN248" s="28" t="e">
        <f>(1/Table4[[#This Row],[nm28]])*10^7</f>
        <v>#DIV/0!</v>
      </c>
      <c r="AO248" s="28"/>
      <c r="AP248" s="28" t="e">
        <f>(1/Table4[[#This Row],[nm10]])*10^7</f>
        <v>#DIV/0!</v>
      </c>
      <c r="AQ248" s="28"/>
      <c r="AR248" s="28" t="e">
        <f>(1/Table4[[#This Row],[nm11]])*10^7</f>
        <v>#DIV/0!</v>
      </c>
      <c r="AS248" s="28"/>
      <c r="AT248" s="28">
        <f>Table4[[#This Row],[Φ]]*100</f>
        <v>0</v>
      </c>
      <c r="AU248" s="28"/>
      <c r="AV248" s="28"/>
    </row>
    <row r="249" spans="3:48" x14ac:dyDescent="0.3">
      <c r="C249" s="27" t="e">
        <f>VLOOKUP(Table4[[#This Row],[Marker name]],BaseInfos_Table[#All],6,FALSE)</f>
        <v>#N/A</v>
      </c>
      <c r="G249" s="41" t="e">
        <f>(1*10^7)/Table4[[#This Row],[cm-1]]</f>
        <v>#DIV/0!</v>
      </c>
      <c r="I249" s="41" t="e">
        <f>(1*10^7)/Table4[[#This Row],[cm-2]]</f>
        <v>#DIV/0!</v>
      </c>
      <c r="K249" s="41" t="e">
        <f>(1*10^7)/Table4[[#This Row],[cm-3]]</f>
        <v>#DIV/0!</v>
      </c>
      <c r="R249" s="41" t="e">
        <f>(1*10^7)/Table4[[#This Row],[nm2]]</f>
        <v>#DIV/0!</v>
      </c>
      <c r="T249" s="41" t="e">
        <f>(1*10^7)/Table4[[#This Row],[nm12]]</f>
        <v>#DIV/0!</v>
      </c>
      <c r="Z249" s="28"/>
      <c r="AA249" s="28"/>
      <c r="AB249" s="28" t="e">
        <f>(1/Table4[[#This Row],[nm5]])*10^7</f>
        <v>#DIV/0!</v>
      </c>
      <c r="AC249" s="28"/>
      <c r="AD249" s="28" t="e">
        <f>(1/Table4[[#This Row],[nm8]])*10^7</f>
        <v>#DIV/0!</v>
      </c>
      <c r="AE249" s="28"/>
      <c r="AF249" s="28" t="e">
        <f>(1/Table4[[#This Row],[nm9]])*10^7</f>
        <v>#DIV/0!</v>
      </c>
      <c r="AG249" s="28"/>
      <c r="AH249" s="28"/>
      <c r="AI249" s="28" t="e">
        <f>(1/Table4[[#This Row],[nm4]])*10^7</f>
        <v>#DIV/0!</v>
      </c>
      <c r="AJ249" s="28"/>
      <c r="AK249" s="28" t="e">
        <f>(1/Table4[[#This Row],[nm14]])*10^7</f>
        <v>#DIV/0!</v>
      </c>
      <c r="AL249" s="28"/>
      <c r="AM249" s="28"/>
      <c r="AN249" s="28" t="e">
        <f>(1/Table4[[#This Row],[nm28]])*10^7</f>
        <v>#DIV/0!</v>
      </c>
      <c r="AO249" s="28"/>
      <c r="AP249" s="28" t="e">
        <f>(1/Table4[[#This Row],[nm10]])*10^7</f>
        <v>#DIV/0!</v>
      </c>
      <c r="AQ249" s="28"/>
      <c r="AR249" s="28" t="e">
        <f>(1/Table4[[#This Row],[nm11]])*10^7</f>
        <v>#DIV/0!</v>
      </c>
      <c r="AS249" s="28"/>
      <c r="AT249" s="28">
        <f>Table4[[#This Row],[Φ]]*100</f>
        <v>0</v>
      </c>
      <c r="AU249" s="28"/>
      <c r="AV249" s="28"/>
    </row>
    <row r="250" spans="3:48" x14ac:dyDescent="0.3">
      <c r="C250" s="27" t="e">
        <f>VLOOKUP(Table4[[#This Row],[Marker name]],BaseInfos_Table[#All],6,FALSE)</f>
        <v>#N/A</v>
      </c>
      <c r="G250" s="41" t="e">
        <f>(1*10^7)/Table4[[#This Row],[cm-1]]</f>
        <v>#DIV/0!</v>
      </c>
      <c r="I250" s="41" t="e">
        <f>(1*10^7)/Table4[[#This Row],[cm-2]]</f>
        <v>#DIV/0!</v>
      </c>
      <c r="K250" s="41" t="e">
        <f>(1*10^7)/Table4[[#This Row],[cm-3]]</f>
        <v>#DIV/0!</v>
      </c>
      <c r="R250" s="41" t="e">
        <f>(1*10^7)/Table4[[#This Row],[nm2]]</f>
        <v>#DIV/0!</v>
      </c>
      <c r="T250" s="41" t="e">
        <f>(1*10^7)/Table4[[#This Row],[nm12]]</f>
        <v>#DIV/0!</v>
      </c>
      <c r="Z250" s="28"/>
      <c r="AA250" s="28"/>
      <c r="AB250" s="28" t="e">
        <f>(1/Table4[[#This Row],[nm5]])*10^7</f>
        <v>#DIV/0!</v>
      </c>
      <c r="AC250" s="28"/>
      <c r="AD250" s="28" t="e">
        <f>(1/Table4[[#This Row],[nm8]])*10^7</f>
        <v>#DIV/0!</v>
      </c>
      <c r="AE250" s="28"/>
      <c r="AF250" s="28" t="e">
        <f>(1/Table4[[#This Row],[nm9]])*10^7</f>
        <v>#DIV/0!</v>
      </c>
      <c r="AG250" s="28"/>
      <c r="AH250" s="28"/>
      <c r="AI250" s="28" t="e">
        <f>(1/Table4[[#This Row],[nm4]])*10^7</f>
        <v>#DIV/0!</v>
      </c>
      <c r="AJ250" s="28"/>
      <c r="AK250" s="28" t="e">
        <f>(1/Table4[[#This Row],[nm14]])*10^7</f>
        <v>#DIV/0!</v>
      </c>
      <c r="AL250" s="28"/>
      <c r="AM250" s="28"/>
      <c r="AN250" s="28" t="e">
        <f>(1/Table4[[#This Row],[nm28]])*10^7</f>
        <v>#DIV/0!</v>
      </c>
      <c r="AO250" s="28"/>
      <c r="AP250" s="28" t="e">
        <f>(1/Table4[[#This Row],[nm10]])*10^7</f>
        <v>#DIV/0!</v>
      </c>
      <c r="AQ250" s="28"/>
      <c r="AR250" s="28" t="e">
        <f>(1/Table4[[#This Row],[nm11]])*10^7</f>
        <v>#DIV/0!</v>
      </c>
      <c r="AS250" s="28"/>
      <c r="AT250" s="28">
        <f>Table4[[#This Row],[Φ]]*100</f>
        <v>0</v>
      </c>
      <c r="AU250" s="28"/>
      <c r="AV250" s="28"/>
    </row>
    <row r="251" spans="3:48" x14ac:dyDescent="0.3">
      <c r="C251" s="27" t="e">
        <f>VLOOKUP(Table4[[#This Row],[Marker name]],BaseInfos_Table[#All],6,FALSE)</f>
        <v>#N/A</v>
      </c>
      <c r="G251" s="41" t="e">
        <f>(1*10^7)/Table4[[#This Row],[cm-1]]</f>
        <v>#DIV/0!</v>
      </c>
      <c r="I251" s="41" t="e">
        <f>(1*10^7)/Table4[[#This Row],[cm-2]]</f>
        <v>#DIV/0!</v>
      </c>
      <c r="K251" s="41" t="e">
        <f>(1*10^7)/Table4[[#This Row],[cm-3]]</f>
        <v>#DIV/0!</v>
      </c>
      <c r="R251" s="41" t="e">
        <f>(1*10^7)/Table4[[#This Row],[nm2]]</f>
        <v>#DIV/0!</v>
      </c>
      <c r="T251" s="41" t="e">
        <f>(1*10^7)/Table4[[#This Row],[nm12]]</f>
        <v>#DIV/0!</v>
      </c>
      <c r="Z251" s="28"/>
      <c r="AA251" s="28"/>
      <c r="AB251" s="28" t="e">
        <f>(1/Table4[[#This Row],[nm5]])*10^7</f>
        <v>#DIV/0!</v>
      </c>
      <c r="AC251" s="28"/>
      <c r="AD251" s="28" t="e">
        <f>(1/Table4[[#This Row],[nm8]])*10^7</f>
        <v>#DIV/0!</v>
      </c>
      <c r="AE251" s="28"/>
      <c r="AF251" s="28" t="e">
        <f>(1/Table4[[#This Row],[nm9]])*10^7</f>
        <v>#DIV/0!</v>
      </c>
      <c r="AG251" s="28"/>
      <c r="AH251" s="28"/>
      <c r="AI251" s="28" t="e">
        <f>(1/Table4[[#This Row],[nm4]])*10^7</f>
        <v>#DIV/0!</v>
      </c>
      <c r="AJ251" s="28"/>
      <c r="AK251" s="28" t="e">
        <f>(1/Table4[[#This Row],[nm14]])*10^7</f>
        <v>#DIV/0!</v>
      </c>
      <c r="AL251" s="28"/>
      <c r="AM251" s="28"/>
      <c r="AN251" s="28" t="e">
        <f>(1/Table4[[#This Row],[nm28]])*10^7</f>
        <v>#DIV/0!</v>
      </c>
      <c r="AO251" s="28"/>
      <c r="AP251" s="28" t="e">
        <f>(1/Table4[[#This Row],[nm10]])*10^7</f>
        <v>#DIV/0!</v>
      </c>
      <c r="AQ251" s="28"/>
      <c r="AR251" s="28" t="e">
        <f>(1/Table4[[#This Row],[nm11]])*10^7</f>
        <v>#DIV/0!</v>
      </c>
      <c r="AS251" s="28"/>
      <c r="AT251" s="28">
        <f>Table4[[#This Row],[Φ]]*100</f>
        <v>0</v>
      </c>
      <c r="AU251" s="28"/>
      <c r="AV251" s="28"/>
    </row>
    <row r="252" spans="3:48" x14ac:dyDescent="0.3">
      <c r="C252" s="27" t="e">
        <f>VLOOKUP(Table4[[#This Row],[Marker name]],BaseInfos_Table[#All],6,FALSE)</f>
        <v>#N/A</v>
      </c>
      <c r="G252" s="41" t="e">
        <f>(1*10^7)/Table4[[#This Row],[cm-1]]</f>
        <v>#DIV/0!</v>
      </c>
      <c r="I252" s="41" t="e">
        <f>(1*10^7)/Table4[[#This Row],[cm-2]]</f>
        <v>#DIV/0!</v>
      </c>
      <c r="K252" s="41" t="e">
        <f>(1*10^7)/Table4[[#This Row],[cm-3]]</f>
        <v>#DIV/0!</v>
      </c>
      <c r="R252" s="41" t="e">
        <f>(1*10^7)/Table4[[#This Row],[nm2]]</f>
        <v>#DIV/0!</v>
      </c>
      <c r="T252" s="41" t="e">
        <f>(1*10^7)/Table4[[#This Row],[nm12]]</f>
        <v>#DIV/0!</v>
      </c>
      <c r="Z252" s="28"/>
      <c r="AA252" s="28"/>
      <c r="AB252" s="28" t="e">
        <f>(1/Table4[[#This Row],[nm5]])*10^7</f>
        <v>#DIV/0!</v>
      </c>
      <c r="AC252" s="28"/>
      <c r="AD252" s="28" t="e">
        <f>(1/Table4[[#This Row],[nm8]])*10^7</f>
        <v>#DIV/0!</v>
      </c>
      <c r="AE252" s="28"/>
      <c r="AF252" s="28" t="e">
        <f>(1/Table4[[#This Row],[nm9]])*10^7</f>
        <v>#DIV/0!</v>
      </c>
      <c r="AG252" s="28"/>
      <c r="AH252" s="28"/>
      <c r="AI252" s="28" t="e">
        <f>(1/Table4[[#This Row],[nm4]])*10^7</f>
        <v>#DIV/0!</v>
      </c>
      <c r="AJ252" s="28"/>
      <c r="AK252" s="28" t="e">
        <f>(1/Table4[[#This Row],[nm14]])*10^7</f>
        <v>#DIV/0!</v>
      </c>
      <c r="AL252" s="28"/>
      <c r="AM252" s="28"/>
      <c r="AN252" s="28" t="e">
        <f>(1/Table4[[#This Row],[nm28]])*10^7</f>
        <v>#DIV/0!</v>
      </c>
      <c r="AO252" s="28"/>
      <c r="AP252" s="28" t="e">
        <f>(1/Table4[[#This Row],[nm10]])*10^7</f>
        <v>#DIV/0!</v>
      </c>
      <c r="AQ252" s="28"/>
      <c r="AR252" s="28" t="e">
        <f>(1/Table4[[#This Row],[nm11]])*10^7</f>
        <v>#DIV/0!</v>
      </c>
      <c r="AS252" s="28"/>
      <c r="AT252" s="28">
        <f>Table4[[#This Row],[Φ]]*100</f>
        <v>0</v>
      </c>
      <c r="AU252" s="28"/>
      <c r="AV252" s="28"/>
    </row>
    <row r="253" spans="3:48" x14ac:dyDescent="0.3">
      <c r="C253" s="27" t="e">
        <f>VLOOKUP(Table4[[#This Row],[Marker name]],BaseInfos_Table[#All],6,FALSE)</f>
        <v>#N/A</v>
      </c>
      <c r="G253" s="41" t="e">
        <f>(1*10^7)/Table4[[#This Row],[cm-1]]</f>
        <v>#DIV/0!</v>
      </c>
      <c r="I253" s="41" t="e">
        <f>(1*10^7)/Table4[[#This Row],[cm-2]]</f>
        <v>#DIV/0!</v>
      </c>
      <c r="K253" s="41" t="e">
        <f>(1*10^7)/Table4[[#This Row],[cm-3]]</f>
        <v>#DIV/0!</v>
      </c>
      <c r="R253" s="41" t="e">
        <f>(1*10^7)/Table4[[#This Row],[nm2]]</f>
        <v>#DIV/0!</v>
      </c>
      <c r="T253" s="41" t="e">
        <f>(1*10^7)/Table4[[#This Row],[nm12]]</f>
        <v>#DIV/0!</v>
      </c>
      <c r="Z253" s="28"/>
      <c r="AA253" s="28"/>
      <c r="AB253" s="28" t="e">
        <f>(1/Table4[[#This Row],[nm5]])*10^7</f>
        <v>#DIV/0!</v>
      </c>
      <c r="AC253" s="28"/>
      <c r="AD253" s="28" t="e">
        <f>(1/Table4[[#This Row],[nm8]])*10^7</f>
        <v>#DIV/0!</v>
      </c>
      <c r="AE253" s="28"/>
      <c r="AF253" s="28" t="e">
        <f>(1/Table4[[#This Row],[nm9]])*10^7</f>
        <v>#DIV/0!</v>
      </c>
      <c r="AG253" s="28"/>
      <c r="AH253" s="28"/>
      <c r="AI253" s="28" t="e">
        <f>(1/Table4[[#This Row],[nm4]])*10^7</f>
        <v>#DIV/0!</v>
      </c>
      <c r="AJ253" s="28"/>
      <c r="AK253" s="28" t="e">
        <f>(1/Table4[[#This Row],[nm14]])*10^7</f>
        <v>#DIV/0!</v>
      </c>
      <c r="AL253" s="28"/>
      <c r="AM253" s="28"/>
      <c r="AN253" s="28" t="e">
        <f>(1/Table4[[#This Row],[nm28]])*10^7</f>
        <v>#DIV/0!</v>
      </c>
      <c r="AO253" s="28"/>
      <c r="AP253" s="28" t="e">
        <f>(1/Table4[[#This Row],[nm10]])*10^7</f>
        <v>#DIV/0!</v>
      </c>
      <c r="AQ253" s="28"/>
      <c r="AR253" s="28" t="e">
        <f>(1/Table4[[#This Row],[nm11]])*10^7</f>
        <v>#DIV/0!</v>
      </c>
      <c r="AS253" s="28"/>
      <c r="AT253" s="28">
        <f>Table4[[#This Row],[Φ]]*100</f>
        <v>0</v>
      </c>
      <c r="AU253" s="28"/>
      <c r="AV253" s="28"/>
    </row>
    <row r="254" spans="3:48" x14ac:dyDescent="0.3">
      <c r="C254" s="27" t="e">
        <f>VLOOKUP(Table4[[#This Row],[Marker name]],BaseInfos_Table[#All],6,FALSE)</f>
        <v>#N/A</v>
      </c>
      <c r="G254" s="41" t="e">
        <f>(1*10^7)/Table4[[#This Row],[cm-1]]</f>
        <v>#DIV/0!</v>
      </c>
      <c r="I254" s="41" t="e">
        <f>(1*10^7)/Table4[[#This Row],[cm-2]]</f>
        <v>#DIV/0!</v>
      </c>
      <c r="K254" s="41" t="e">
        <f>(1*10^7)/Table4[[#This Row],[cm-3]]</f>
        <v>#DIV/0!</v>
      </c>
      <c r="R254" s="41" t="e">
        <f>(1*10^7)/Table4[[#This Row],[nm2]]</f>
        <v>#DIV/0!</v>
      </c>
      <c r="T254" s="41" t="e">
        <f>(1*10^7)/Table4[[#This Row],[nm12]]</f>
        <v>#DIV/0!</v>
      </c>
      <c r="Z254" s="28"/>
      <c r="AA254" s="28"/>
      <c r="AB254" s="28" t="e">
        <f>(1/Table4[[#This Row],[nm5]])*10^7</f>
        <v>#DIV/0!</v>
      </c>
      <c r="AC254" s="28"/>
      <c r="AD254" s="28" t="e">
        <f>(1/Table4[[#This Row],[nm8]])*10^7</f>
        <v>#DIV/0!</v>
      </c>
      <c r="AE254" s="28"/>
      <c r="AF254" s="28" t="e">
        <f>(1/Table4[[#This Row],[nm9]])*10^7</f>
        <v>#DIV/0!</v>
      </c>
      <c r="AG254" s="28"/>
      <c r="AH254" s="28"/>
      <c r="AI254" s="28" t="e">
        <f>(1/Table4[[#This Row],[nm4]])*10^7</f>
        <v>#DIV/0!</v>
      </c>
      <c r="AJ254" s="28"/>
      <c r="AK254" s="28" t="e">
        <f>(1/Table4[[#This Row],[nm14]])*10^7</f>
        <v>#DIV/0!</v>
      </c>
      <c r="AL254" s="28"/>
      <c r="AM254" s="28"/>
      <c r="AN254" s="28" t="e">
        <f>(1/Table4[[#This Row],[nm28]])*10^7</f>
        <v>#DIV/0!</v>
      </c>
      <c r="AO254" s="28"/>
      <c r="AP254" s="28" t="e">
        <f>(1/Table4[[#This Row],[nm10]])*10^7</f>
        <v>#DIV/0!</v>
      </c>
      <c r="AQ254" s="28"/>
      <c r="AR254" s="28" t="e">
        <f>(1/Table4[[#This Row],[nm11]])*10^7</f>
        <v>#DIV/0!</v>
      </c>
      <c r="AS254" s="28"/>
      <c r="AT254" s="28">
        <f>Table4[[#This Row],[Φ]]*100</f>
        <v>0</v>
      </c>
      <c r="AU254" s="28"/>
      <c r="AV254" s="28"/>
    </row>
    <row r="255" spans="3:48" x14ac:dyDescent="0.3">
      <c r="C255" s="27" t="e">
        <f>VLOOKUP(Table4[[#This Row],[Marker name]],BaseInfos_Table[#All],6,FALSE)</f>
        <v>#N/A</v>
      </c>
      <c r="G255" s="41" t="e">
        <f>(1*10^7)/Table4[[#This Row],[cm-1]]</f>
        <v>#DIV/0!</v>
      </c>
      <c r="I255" s="41" t="e">
        <f>(1*10^7)/Table4[[#This Row],[cm-2]]</f>
        <v>#DIV/0!</v>
      </c>
      <c r="K255" s="41" t="e">
        <f>(1*10^7)/Table4[[#This Row],[cm-3]]</f>
        <v>#DIV/0!</v>
      </c>
      <c r="R255" s="41" t="e">
        <f>(1*10^7)/Table4[[#This Row],[nm2]]</f>
        <v>#DIV/0!</v>
      </c>
      <c r="T255" s="41" t="e">
        <f>(1*10^7)/Table4[[#This Row],[nm12]]</f>
        <v>#DIV/0!</v>
      </c>
      <c r="Z255" s="28"/>
      <c r="AA255" s="28"/>
      <c r="AB255" s="28" t="e">
        <f>(1/Table4[[#This Row],[nm5]])*10^7</f>
        <v>#DIV/0!</v>
      </c>
      <c r="AC255" s="28"/>
      <c r="AD255" s="28" t="e">
        <f>(1/Table4[[#This Row],[nm8]])*10^7</f>
        <v>#DIV/0!</v>
      </c>
      <c r="AE255" s="28"/>
      <c r="AF255" s="28" t="e">
        <f>(1/Table4[[#This Row],[nm9]])*10^7</f>
        <v>#DIV/0!</v>
      </c>
      <c r="AG255" s="28"/>
      <c r="AH255" s="28"/>
      <c r="AI255" s="28" t="e">
        <f>(1/Table4[[#This Row],[nm4]])*10^7</f>
        <v>#DIV/0!</v>
      </c>
      <c r="AJ255" s="28"/>
      <c r="AK255" s="28" t="e">
        <f>(1/Table4[[#This Row],[nm14]])*10^7</f>
        <v>#DIV/0!</v>
      </c>
      <c r="AL255" s="28"/>
      <c r="AM255" s="28"/>
      <c r="AN255" s="28" t="e">
        <f>(1/Table4[[#This Row],[nm28]])*10^7</f>
        <v>#DIV/0!</v>
      </c>
      <c r="AO255" s="28"/>
      <c r="AP255" s="28" t="e">
        <f>(1/Table4[[#This Row],[nm10]])*10^7</f>
        <v>#DIV/0!</v>
      </c>
      <c r="AQ255" s="28"/>
      <c r="AR255" s="28" t="e">
        <f>(1/Table4[[#This Row],[nm11]])*10^7</f>
        <v>#DIV/0!</v>
      </c>
      <c r="AS255" s="28"/>
      <c r="AT255" s="28">
        <f>Table4[[#This Row],[Φ]]*100</f>
        <v>0</v>
      </c>
      <c r="AU255" s="28"/>
      <c r="AV255" s="28"/>
    </row>
    <row r="256" spans="3:48" x14ac:dyDescent="0.3">
      <c r="C256" s="27" t="e">
        <f>VLOOKUP(Table4[[#This Row],[Marker name]],BaseInfos_Table[#All],6,FALSE)</f>
        <v>#N/A</v>
      </c>
      <c r="G256" s="41" t="e">
        <f>(1*10^7)/Table4[[#This Row],[cm-1]]</f>
        <v>#DIV/0!</v>
      </c>
      <c r="I256" s="41" t="e">
        <f>(1*10^7)/Table4[[#This Row],[cm-2]]</f>
        <v>#DIV/0!</v>
      </c>
      <c r="K256" s="41" t="e">
        <f>(1*10^7)/Table4[[#This Row],[cm-3]]</f>
        <v>#DIV/0!</v>
      </c>
      <c r="R256" s="41" t="e">
        <f>(1*10^7)/Table4[[#This Row],[nm2]]</f>
        <v>#DIV/0!</v>
      </c>
      <c r="T256" s="41" t="e">
        <f>(1*10^7)/Table4[[#This Row],[nm12]]</f>
        <v>#DIV/0!</v>
      </c>
      <c r="Z256" s="28"/>
      <c r="AA256" s="28"/>
      <c r="AB256" s="28" t="e">
        <f>(1/Table4[[#This Row],[nm5]])*10^7</f>
        <v>#DIV/0!</v>
      </c>
      <c r="AC256" s="28"/>
      <c r="AD256" s="28" t="e">
        <f>(1/Table4[[#This Row],[nm8]])*10^7</f>
        <v>#DIV/0!</v>
      </c>
      <c r="AE256" s="28"/>
      <c r="AF256" s="28" t="e">
        <f>(1/Table4[[#This Row],[nm9]])*10^7</f>
        <v>#DIV/0!</v>
      </c>
      <c r="AG256" s="28"/>
      <c r="AH256" s="28"/>
      <c r="AI256" s="28" t="e">
        <f>(1/Table4[[#This Row],[nm4]])*10^7</f>
        <v>#DIV/0!</v>
      </c>
      <c r="AJ256" s="28"/>
      <c r="AK256" s="28" t="e">
        <f>(1/Table4[[#This Row],[nm14]])*10^7</f>
        <v>#DIV/0!</v>
      </c>
      <c r="AL256" s="28"/>
      <c r="AM256" s="28"/>
      <c r="AN256" s="28" t="e">
        <f>(1/Table4[[#This Row],[nm28]])*10^7</f>
        <v>#DIV/0!</v>
      </c>
      <c r="AO256" s="28"/>
      <c r="AP256" s="28" t="e">
        <f>(1/Table4[[#This Row],[nm10]])*10^7</f>
        <v>#DIV/0!</v>
      </c>
      <c r="AQ256" s="28"/>
      <c r="AR256" s="28" t="e">
        <f>(1/Table4[[#This Row],[nm11]])*10^7</f>
        <v>#DIV/0!</v>
      </c>
      <c r="AS256" s="28"/>
      <c r="AT256" s="28">
        <f>Table4[[#This Row],[Φ]]*100</f>
        <v>0</v>
      </c>
      <c r="AU256" s="28"/>
      <c r="AV256" s="28"/>
    </row>
    <row r="257" spans="3:48" x14ac:dyDescent="0.3">
      <c r="C257" s="27" t="e">
        <f>VLOOKUP(Table4[[#This Row],[Marker name]],BaseInfos_Table[#All],6,FALSE)</f>
        <v>#N/A</v>
      </c>
      <c r="G257" s="41" t="e">
        <f>(1*10^7)/Table4[[#This Row],[cm-1]]</f>
        <v>#DIV/0!</v>
      </c>
      <c r="I257" s="41" t="e">
        <f>(1*10^7)/Table4[[#This Row],[cm-2]]</f>
        <v>#DIV/0!</v>
      </c>
      <c r="K257" s="41" t="e">
        <f>(1*10^7)/Table4[[#This Row],[cm-3]]</f>
        <v>#DIV/0!</v>
      </c>
      <c r="R257" s="41" t="e">
        <f>(1*10^7)/Table4[[#This Row],[nm2]]</f>
        <v>#DIV/0!</v>
      </c>
      <c r="T257" s="41" t="e">
        <f>(1*10^7)/Table4[[#This Row],[nm12]]</f>
        <v>#DIV/0!</v>
      </c>
      <c r="Z257" s="28"/>
      <c r="AA257" s="28"/>
      <c r="AB257" s="28" t="e">
        <f>(1/Table4[[#This Row],[nm5]])*10^7</f>
        <v>#DIV/0!</v>
      </c>
      <c r="AC257" s="28"/>
      <c r="AD257" s="28" t="e">
        <f>(1/Table4[[#This Row],[nm8]])*10^7</f>
        <v>#DIV/0!</v>
      </c>
      <c r="AE257" s="28"/>
      <c r="AF257" s="28" t="e">
        <f>(1/Table4[[#This Row],[nm9]])*10^7</f>
        <v>#DIV/0!</v>
      </c>
      <c r="AG257" s="28"/>
      <c r="AH257" s="28"/>
      <c r="AI257" s="28" t="e">
        <f>(1/Table4[[#This Row],[nm4]])*10^7</f>
        <v>#DIV/0!</v>
      </c>
      <c r="AJ257" s="28"/>
      <c r="AK257" s="28" t="e">
        <f>(1/Table4[[#This Row],[nm14]])*10^7</f>
        <v>#DIV/0!</v>
      </c>
      <c r="AL257" s="28"/>
      <c r="AM257" s="28"/>
      <c r="AN257" s="28" t="e">
        <f>(1/Table4[[#This Row],[nm28]])*10^7</f>
        <v>#DIV/0!</v>
      </c>
      <c r="AO257" s="28"/>
      <c r="AP257" s="28" t="e">
        <f>(1/Table4[[#This Row],[nm10]])*10^7</f>
        <v>#DIV/0!</v>
      </c>
      <c r="AQ257" s="28"/>
      <c r="AR257" s="28" t="e">
        <f>(1/Table4[[#This Row],[nm11]])*10^7</f>
        <v>#DIV/0!</v>
      </c>
      <c r="AS257" s="28"/>
      <c r="AT257" s="28">
        <f>Table4[[#This Row],[Φ]]*100</f>
        <v>0</v>
      </c>
      <c r="AU257" s="28"/>
      <c r="AV257" s="28"/>
    </row>
    <row r="258" spans="3:48" x14ac:dyDescent="0.3">
      <c r="C258" s="27" t="e">
        <f>VLOOKUP(Table4[[#This Row],[Marker name]],BaseInfos_Table[#All],6,FALSE)</f>
        <v>#N/A</v>
      </c>
      <c r="G258" s="41" t="e">
        <f>(1*10^7)/Table4[[#This Row],[cm-1]]</f>
        <v>#DIV/0!</v>
      </c>
      <c r="I258" s="41" t="e">
        <f>(1*10^7)/Table4[[#This Row],[cm-2]]</f>
        <v>#DIV/0!</v>
      </c>
      <c r="K258" s="41" t="e">
        <f>(1*10^7)/Table4[[#This Row],[cm-3]]</f>
        <v>#DIV/0!</v>
      </c>
      <c r="R258" s="41" t="e">
        <f>(1*10^7)/Table4[[#This Row],[nm2]]</f>
        <v>#DIV/0!</v>
      </c>
      <c r="T258" s="41" t="e">
        <f>(1*10^7)/Table4[[#This Row],[nm12]]</f>
        <v>#DIV/0!</v>
      </c>
      <c r="Z258" s="28"/>
      <c r="AA258" s="28"/>
      <c r="AB258" s="28" t="e">
        <f>(1/Table4[[#This Row],[nm5]])*10^7</f>
        <v>#DIV/0!</v>
      </c>
      <c r="AC258" s="28"/>
      <c r="AD258" s="28" t="e">
        <f>(1/Table4[[#This Row],[nm8]])*10^7</f>
        <v>#DIV/0!</v>
      </c>
      <c r="AE258" s="28"/>
      <c r="AF258" s="28" t="e">
        <f>(1/Table4[[#This Row],[nm9]])*10^7</f>
        <v>#DIV/0!</v>
      </c>
      <c r="AG258" s="28"/>
      <c r="AH258" s="28"/>
      <c r="AI258" s="28" t="e">
        <f>(1/Table4[[#This Row],[nm4]])*10^7</f>
        <v>#DIV/0!</v>
      </c>
      <c r="AJ258" s="28"/>
      <c r="AK258" s="28" t="e">
        <f>(1/Table4[[#This Row],[nm14]])*10^7</f>
        <v>#DIV/0!</v>
      </c>
      <c r="AL258" s="28"/>
      <c r="AM258" s="28"/>
      <c r="AN258" s="28" t="e">
        <f>(1/Table4[[#This Row],[nm28]])*10^7</f>
        <v>#DIV/0!</v>
      </c>
      <c r="AO258" s="28"/>
      <c r="AP258" s="28" t="e">
        <f>(1/Table4[[#This Row],[nm10]])*10^7</f>
        <v>#DIV/0!</v>
      </c>
      <c r="AQ258" s="28"/>
      <c r="AR258" s="28" t="e">
        <f>(1/Table4[[#This Row],[nm11]])*10^7</f>
        <v>#DIV/0!</v>
      </c>
      <c r="AS258" s="28"/>
      <c r="AT258" s="28">
        <f>Table4[[#This Row],[Φ]]*100</f>
        <v>0</v>
      </c>
      <c r="AU258" s="28"/>
      <c r="AV258" s="28"/>
    </row>
    <row r="259" spans="3:48" x14ac:dyDescent="0.3">
      <c r="C259" s="27" t="e">
        <f>VLOOKUP(Table4[[#This Row],[Marker name]],BaseInfos_Table[#All],6,FALSE)</f>
        <v>#N/A</v>
      </c>
      <c r="G259" s="41" t="e">
        <f>(1*10^7)/Table4[[#This Row],[cm-1]]</f>
        <v>#DIV/0!</v>
      </c>
      <c r="I259" s="41" t="e">
        <f>(1*10^7)/Table4[[#This Row],[cm-2]]</f>
        <v>#DIV/0!</v>
      </c>
      <c r="K259" s="41" t="e">
        <f>(1*10^7)/Table4[[#This Row],[cm-3]]</f>
        <v>#DIV/0!</v>
      </c>
      <c r="R259" s="41" t="e">
        <f>(1*10^7)/Table4[[#This Row],[nm2]]</f>
        <v>#DIV/0!</v>
      </c>
      <c r="T259" s="41" t="e">
        <f>(1*10^7)/Table4[[#This Row],[nm12]]</f>
        <v>#DIV/0!</v>
      </c>
      <c r="Z259" s="28"/>
      <c r="AA259" s="28"/>
      <c r="AB259" s="28" t="e">
        <f>(1/Table4[[#This Row],[nm5]])*10^7</f>
        <v>#DIV/0!</v>
      </c>
      <c r="AC259" s="28"/>
      <c r="AD259" s="28" t="e">
        <f>(1/Table4[[#This Row],[nm8]])*10^7</f>
        <v>#DIV/0!</v>
      </c>
      <c r="AE259" s="28"/>
      <c r="AF259" s="28" t="e">
        <f>(1/Table4[[#This Row],[nm9]])*10^7</f>
        <v>#DIV/0!</v>
      </c>
      <c r="AG259" s="28"/>
      <c r="AH259" s="28"/>
      <c r="AI259" s="28" t="e">
        <f>(1/Table4[[#This Row],[nm4]])*10^7</f>
        <v>#DIV/0!</v>
      </c>
      <c r="AJ259" s="28"/>
      <c r="AK259" s="28" t="e">
        <f>(1/Table4[[#This Row],[nm14]])*10^7</f>
        <v>#DIV/0!</v>
      </c>
      <c r="AL259" s="28"/>
      <c r="AM259" s="28"/>
      <c r="AN259" s="28" t="e">
        <f>(1/Table4[[#This Row],[nm28]])*10^7</f>
        <v>#DIV/0!</v>
      </c>
      <c r="AO259" s="28"/>
      <c r="AP259" s="28" t="e">
        <f>(1/Table4[[#This Row],[nm10]])*10^7</f>
        <v>#DIV/0!</v>
      </c>
      <c r="AQ259" s="28"/>
      <c r="AR259" s="28" t="e">
        <f>(1/Table4[[#This Row],[nm11]])*10^7</f>
        <v>#DIV/0!</v>
      </c>
      <c r="AS259" s="28"/>
      <c r="AT259" s="28">
        <f>Table4[[#This Row],[Φ]]*100</f>
        <v>0</v>
      </c>
      <c r="AU259" s="28"/>
      <c r="AV259" s="28"/>
    </row>
    <row r="260" spans="3:48" x14ac:dyDescent="0.3">
      <c r="C260" s="27" t="e">
        <f>VLOOKUP(Table4[[#This Row],[Marker name]],BaseInfos_Table[#All],6,FALSE)</f>
        <v>#N/A</v>
      </c>
      <c r="G260" s="41" t="e">
        <f>(1*10^7)/Table4[[#This Row],[cm-1]]</f>
        <v>#DIV/0!</v>
      </c>
      <c r="I260" s="41" t="e">
        <f>(1*10^7)/Table4[[#This Row],[cm-2]]</f>
        <v>#DIV/0!</v>
      </c>
      <c r="K260" s="41" t="e">
        <f>(1*10^7)/Table4[[#This Row],[cm-3]]</f>
        <v>#DIV/0!</v>
      </c>
      <c r="R260" s="41" t="e">
        <f>(1*10^7)/Table4[[#This Row],[nm2]]</f>
        <v>#DIV/0!</v>
      </c>
      <c r="T260" s="41" t="e">
        <f>(1*10^7)/Table4[[#This Row],[nm12]]</f>
        <v>#DIV/0!</v>
      </c>
      <c r="Z260" s="28"/>
      <c r="AA260" s="28"/>
      <c r="AB260" s="28" t="e">
        <f>(1/Table4[[#This Row],[nm5]])*10^7</f>
        <v>#DIV/0!</v>
      </c>
      <c r="AC260" s="28"/>
      <c r="AD260" s="28" t="e">
        <f>(1/Table4[[#This Row],[nm8]])*10^7</f>
        <v>#DIV/0!</v>
      </c>
      <c r="AE260" s="28"/>
      <c r="AF260" s="28" t="e">
        <f>(1/Table4[[#This Row],[nm9]])*10^7</f>
        <v>#DIV/0!</v>
      </c>
      <c r="AG260" s="28"/>
      <c r="AH260" s="28"/>
      <c r="AI260" s="28" t="e">
        <f>(1/Table4[[#This Row],[nm4]])*10^7</f>
        <v>#DIV/0!</v>
      </c>
      <c r="AJ260" s="28"/>
      <c r="AK260" s="28" t="e">
        <f>(1/Table4[[#This Row],[nm14]])*10^7</f>
        <v>#DIV/0!</v>
      </c>
      <c r="AL260" s="28"/>
      <c r="AM260" s="28"/>
      <c r="AN260" s="28" t="e">
        <f>(1/Table4[[#This Row],[nm28]])*10^7</f>
        <v>#DIV/0!</v>
      </c>
      <c r="AO260" s="28"/>
      <c r="AP260" s="28" t="e">
        <f>(1/Table4[[#This Row],[nm10]])*10^7</f>
        <v>#DIV/0!</v>
      </c>
      <c r="AQ260" s="28"/>
      <c r="AR260" s="28" t="e">
        <f>(1/Table4[[#This Row],[nm11]])*10^7</f>
        <v>#DIV/0!</v>
      </c>
      <c r="AS260" s="28"/>
      <c r="AT260" s="28">
        <f>Table4[[#This Row],[Φ]]*100</f>
        <v>0</v>
      </c>
      <c r="AU260" s="28"/>
      <c r="AV260" s="28"/>
    </row>
    <row r="261" spans="3:48" x14ac:dyDescent="0.3">
      <c r="C261" s="27" t="e">
        <f>VLOOKUP(Table4[[#This Row],[Marker name]],BaseInfos_Table[#All],6,FALSE)</f>
        <v>#N/A</v>
      </c>
      <c r="G261" s="41" t="e">
        <f>(1*10^7)/Table4[[#This Row],[cm-1]]</f>
        <v>#DIV/0!</v>
      </c>
      <c r="I261" s="41" t="e">
        <f>(1*10^7)/Table4[[#This Row],[cm-2]]</f>
        <v>#DIV/0!</v>
      </c>
      <c r="K261" s="41" t="e">
        <f>(1*10^7)/Table4[[#This Row],[cm-3]]</f>
        <v>#DIV/0!</v>
      </c>
      <c r="R261" s="41" t="e">
        <f>(1*10^7)/Table4[[#This Row],[nm2]]</f>
        <v>#DIV/0!</v>
      </c>
      <c r="T261" s="41" t="e">
        <f>(1*10^7)/Table4[[#This Row],[nm12]]</f>
        <v>#DIV/0!</v>
      </c>
      <c r="Z261" s="28"/>
      <c r="AA261" s="28"/>
      <c r="AB261" s="28" t="e">
        <f>(1/Table4[[#This Row],[nm5]])*10^7</f>
        <v>#DIV/0!</v>
      </c>
      <c r="AC261" s="28"/>
      <c r="AD261" s="28" t="e">
        <f>(1/Table4[[#This Row],[nm8]])*10^7</f>
        <v>#DIV/0!</v>
      </c>
      <c r="AE261" s="28"/>
      <c r="AF261" s="28" t="e">
        <f>(1/Table4[[#This Row],[nm9]])*10^7</f>
        <v>#DIV/0!</v>
      </c>
      <c r="AG261" s="28"/>
      <c r="AH261" s="28"/>
      <c r="AI261" s="28" t="e">
        <f>(1/Table4[[#This Row],[nm4]])*10^7</f>
        <v>#DIV/0!</v>
      </c>
      <c r="AJ261" s="28"/>
      <c r="AK261" s="28" t="e">
        <f>(1/Table4[[#This Row],[nm14]])*10^7</f>
        <v>#DIV/0!</v>
      </c>
      <c r="AL261" s="28"/>
      <c r="AM261" s="28"/>
      <c r="AN261" s="28" t="e">
        <f>(1/Table4[[#This Row],[nm28]])*10^7</f>
        <v>#DIV/0!</v>
      </c>
      <c r="AO261" s="28"/>
      <c r="AP261" s="28" t="e">
        <f>(1/Table4[[#This Row],[nm10]])*10^7</f>
        <v>#DIV/0!</v>
      </c>
      <c r="AQ261" s="28"/>
      <c r="AR261" s="28" t="e">
        <f>(1/Table4[[#This Row],[nm11]])*10^7</f>
        <v>#DIV/0!</v>
      </c>
      <c r="AS261" s="28"/>
      <c r="AT261" s="28">
        <f>Table4[[#This Row],[Φ]]*100</f>
        <v>0</v>
      </c>
      <c r="AU261" s="28"/>
      <c r="AV261" s="28"/>
    </row>
    <row r="262" spans="3:48" x14ac:dyDescent="0.3">
      <c r="C262" s="27" t="e">
        <f>VLOOKUP(Table4[[#This Row],[Marker name]],BaseInfos_Table[#All],6,FALSE)</f>
        <v>#N/A</v>
      </c>
      <c r="G262" s="41" t="e">
        <f>(1*10^7)/Table4[[#This Row],[cm-1]]</f>
        <v>#DIV/0!</v>
      </c>
      <c r="I262" s="41" t="e">
        <f>(1*10^7)/Table4[[#This Row],[cm-2]]</f>
        <v>#DIV/0!</v>
      </c>
      <c r="K262" s="41" t="e">
        <f>(1*10^7)/Table4[[#This Row],[cm-3]]</f>
        <v>#DIV/0!</v>
      </c>
      <c r="R262" s="41" t="e">
        <f>(1*10^7)/Table4[[#This Row],[nm2]]</f>
        <v>#DIV/0!</v>
      </c>
      <c r="T262" s="41" t="e">
        <f>(1*10^7)/Table4[[#This Row],[nm12]]</f>
        <v>#DIV/0!</v>
      </c>
      <c r="Z262" s="28"/>
      <c r="AA262" s="28"/>
      <c r="AB262" s="28" t="e">
        <f>(1/Table4[[#This Row],[nm5]])*10^7</f>
        <v>#DIV/0!</v>
      </c>
      <c r="AC262" s="28"/>
      <c r="AD262" s="28" t="e">
        <f>(1/Table4[[#This Row],[nm8]])*10^7</f>
        <v>#DIV/0!</v>
      </c>
      <c r="AE262" s="28"/>
      <c r="AF262" s="28" t="e">
        <f>(1/Table4[[#This Row],[nm9]])*10^7</f>
        <v>#DIV/0!</v>
      </c>
      <c r="AG262" s="28"/>
      <c r="AH262" s="28"/>
      <c r="AI262" s="28" t="e">
        <f>(1/Table4[[#This Row],[nm4]])*10^7</f>
        <v>#DIV/0!</v>
      </c>
      <c r="AJ262" s="28"/>
      <c r="AK262" s="28" t="e">
        <f>(1/Table4[[#This Row],[nm14]])*10^7</f>
        <v>#DIV/0!</v>
      </c>
      <c r="AL262" s="28"/>
      <c r="AM262" s="28"/>
      <c r="AN262" s="28" t="e">
        <f>(1/Table4[[#This Row],[nm28]])*10^7</f>
        <v>#DIV/0!</v>
      </c>
      <c r="AO262" s="28"/>
      <c r="AP262" s="28" t="e">
        <f>(1/Table4[[#This Row],[nm10]])*10^7</f>
        <v>#DIV/0!</v>
      </c>
      <c r="AQ262" s="28"/>
      <c r="AR262" s="28" t="e">
        <f>(1/Table4[[#This Row],[nm11]])*10^7</f>
        <v>#DIV/0!</v>
      </c>
      <c r="AS262" s="28"/>
      <c r="AT262" s="28">
        <f>Table4[[#This Row],[Φ]]*100</f>
        <v>0</v>
      </c>
      <c r="AU262" s="28"/>
      <c r="AV262" s="28"/>
    </row>
    <row r="263" spans="3:48" x14ac:dyDescent="0.3">
      <c r="C263" s="27" t="e">
        <f>VLOOKUP(Table4[[#This Row],[Marker name]],BaseInfos_Table[#All],6,FALSE)</f>
        <v>#N/A</v>
      </c>
      <c r="G263" s="41" t="e">
        <f>(1*10^7)/Table4[[#This Row],[cm-1]]</f>
        <v>#DIV/0!</v>
      </c>
      <c r="I263" s="41" t="e">
        <f>(1*10^7)/Table4[[#This Row],[cm-2]]</f>
        <v>#DIV/0!</v>
      </c>
      <c r="K263" s="41" t="e">
        <f>(1*10^7)/Table4[[#This Row],[cm-3]]</f>
        <v>#DIV/0!</v>
      </c>
      <c r="R263" s="41" t="e">
        <f>(1*10^7)/Table4[[#This Row],[nm2]]</f>
        <v>#DIV/0!</v>
      </c>
      <c r="T263" s="41" t="e">
        <f>(1*10^7)/Table4[[#This Row],[nm12]]</f>
        <v>#DIV/0!</v>
      </c>
      <c r="Z263" s="28"/>
      <c r="AA263" s="28"/>
      <c r="AB263" s="28" t="e">
        <f>(1/Table4[[#This Row],[nm5]])*10^7</f>
        <v>#DIV/0!</v>
      </c>
      <c r="AC263" s="28"/>
      <c r="AD263" s="28" t="e">
        <f>(1/Table4[[#This Row],[nm8]])*10^7</f>
        <v>#DIV/0!</v>
      </c>
      <c r="AE263" s="28"/>
      <c r="AF263" s="28" t="e">
        <f>(1/Table4[[#This Row],[nm9]])*10^7</f>
        <v>#DIV/0!</v>
      </c>
      <c r="AG263" s="28"/>
      <c r="AH263" s="28"/>
      <c r="AI263" s="28" t="e">
        <f>(1/Table4[[#This Row],[nm4]])*10^7</f>
        <v>#DIV/0!</v>
      </c>
      <c r="AJ263" s="28"/>
      <c r="AK263" s="28" t="e">
        <f>(1/Table4[[#This Row],[nm14]])*10^7</f>
        <v>#DIV/0!</v>
      </c>
      <c r="AL263" s="28"/>
      <c r="AM263" s="28"/>
      <c r="AN263" s="28" t="e">
        <f>(1/Table4[[#This Row],[nm28]])*10^7</f>
        <v>#DIV/0!</v>
      </c>
      <c r="AO263" s="28"/>
      <c r="AP263" s="28" t="e">
        <f>(1/Table4[[#This Row],[nm10]])*10^7</f>
        <v>#DIV/0!</v>
      </c>
      <c r="AQ263" s="28"/>
      <c r="AR263" s="28" t="e">
        <f>(1/Table4[[#This Row],[nm11]])*10^7</f>
        <v>#DIV/0!</v>
      </c>
      <c r="AS263" s="28"/>
      <c r="AT263" s="28">
        <f>Table4[[#This Row],[Φ]]*100</f>
        <v>0</v>
      </c>
      <c r="AU263" s="28"/>
      <c r="AV263" s="28"/>
    </row>
    <row r="264" spans="3:48" x14ac:dyDescent="0.3">
      <c r="C264" s="27" t="e">
        <f>VLOOKUP(Table4[[#This Row],[Marker name]],BaseInfos_Table[#All],6,FALSE)</f>
        <v>#N/A</v>
      </c>
      <c r="G264" s="41" t="e">
        <f>(1*10^7)/Table4[[#This Row],[cm-1]]</f>
        <v>#DIV/0!</v>
      </c>
      <c r="I264" s="41" t="e">
        <f>(1*10^7)/Table4[[#This Row],[cm-2]]</f>
        <v>#DIV/0!</v>
      </c>
      <c r="K264" s="41" t="e">
        <f>(1*10^7)/Table4[[#This Row],[cm-3]]</f>
        <v>#DIV/0!</v>
      </c>
      <c r="R264" s="41" t="e">
        <f>(1*10^7)/Table4[[#This Row],[nm2]]</f>
        <v>#DIV/0!</v>
      </c>
      <c r="T264" s="41" t="e">
        <f>(1*10^7)/Table4[[#This Row],[nm12]]</f>
        <v>#DIV/0!</v>
      </c>
      <c r="Z264" s="28"/>
      <c r="AA264" s="28"/>
      <c r="AB264" s="28" t="e">
        <f>(1/Table4[[#This Row],[nm5]])*10^7</f>
        <v>#DIV/0!</v>
      </c>
      <c r="AC264" s="28"/>
      <c r="AD264" s="28" t="e">
        <f>(1/Table4[[#This Row],[nm8]])*10^7</f>
        <v>#DIV/0!</v>
      </c>
      <c r="AE264" s="28"/>
      <c r="AF264" s="28" t="e">
        <f>(1/Table4[[#This Row],[nm9]])*10^7</f>
        <v>#DIV/0!</v>
      </c>
      <c r="AG264" s="28"/>
      <c r="AH264" s="28"/>
      <c r="AI264" s="28" t="e">
        <f>(1/Table4[[#This Row],[nm4]])*10^7</f>
        <v>#DIV/0!</v>
      </c>
      <c r="AJ264" s="28"/>
      <c r="AK264" s="28" t="e">
        <f>(1/Table4[[#This Row],[nm14]])*10^7</f>
        <v>#DIV/0!</v>
      </c>
      <c r="AL264" s="28"/>
      <c r="AM264" s="28"/>
      <c r="AN264" s="28" t="e">
        <f>(1/Table4[[#This Row],[nm28]])*10^7</f>
        <v>#DIV/0!</v>
      </c>
      <c r="AO264" s="28"/>
      <c r="AP264" s="28" t="e">
        <f>(1/Table4[[#This Row],[nm10]])*10^7</f>
        <v>#DIV/0!</v>
      </c>
      <c r="AQ264" s="28"/>
      <c r="AR264" s="28" t="e">
        <f>(1/Table4[[#This Row],[nm11]])*10^7</f>
        <v>#DIV/0!</v>
      </c>
      <c r="AS264" s="28"/>
      <c r="AT264" s="28">
        <f>Table4[[#This Row],[Φ]]*100</f>
        <v>0</v>
      </c>
      <c r="AU264" s="28"/>
      <c r="AV264" s="28"/>
    </row>
    <row r="265" spans="3:48" x14ac:dyDescent="0.3">
      <c r="C265" s="27" t="e">
        <f>VLOOKUP(Table4[[#This Row],[Marker name]],BaseInfos_Table[#All],6,FALSE)</f>
        <v>#N/A</v>
      </c>
      <c r="G265" s="41" t="e">
        <f>(1*10^7)/Table4[[#This Row],[cm-1]]</f>
        <v>#DIV/0!</v>
      </c>
      <c r="I265" s="41" t="e">
        <f>(1*10^7)/Table4[[#This Row],[cm-2]]</f>
        <v>#DIV/0!</v>
      </c>
      <c r="K265" s="41" t="e">
        <f>(1*10^7)/Table4[[#This Row],[cm-3]]</f>
        <v>#DIV/0!</v>
      </c>
      <c r="R265" s="41" t="e">
        <f>(1*10^7)/Table4[[#This Row],[nm2]]</f>
        <v>#DIV/0!</v>
      </c>
      <c r="T265" s="41" t="e">
        <f>(1*10^7)/Table4[[#This Row],[nm12]]</f>
        <v>#DIV/0!</v>
      </c>
      <c r="Z265" s="28"/>
      <c r="AA265" s="28"/>
      <c r="AB265" s="28" t="e">
        <f>(1/Table4[[#This Row],[nm5]])*10^7</f>
        <v>#DIV/0!</v>
      </c>
      <c r="AC265" s="28"/>
      <c r="AD265" s="28" t="e">
        <f>(1/Table4[[#This Row],[nm8]])*10^7</f>
        <v>#DIV/0!</v>
      </c>
      <c r="AE265" s="28"/>
      <c r="AF265" s="28" t="e">
        <f>(1/Table4[[#This Row],[nm9]])*10^7</f>
        <v>#DIV/0!</v>
      </c>
      <c r="AG265" s="28"/>
      <c r="AH265" s="28"/>
      <c r="AI265" s="28" t="e">
        <f>(1/Table4[[#This Row],[nm4]])*10^7</f>
        <v>#DIV/0!</v>
      </c>
      <c r="AJ265" s="28"/>
      <c r="AK265" s="28" t="e">
        <f>(1/Table4[[#This Row],[nm14]])*10^7</f>
        <v>#DIV/0!</v>
      </c>
      <c r="AL265" s="28"/>
      <c r="AM265" s="28"/>
      <c r="AN265" s="28" t="e">
        <f>(1/Table4[[#This Row],[nm28]])*10^7</f>
        <v>#DIV/0!</v>
      </c>
      <c r="AO265" s="28"/>
      <c r="AP265" s="28" t="e">
        <f>(1/Table4[[#This Row],[nm10]])*10^7</f>
        <v>#DIV/0!</v>
      </c>
      <c r="AQ265" s="28"/>
      <c r="AR265" s="28" t="e">
        <f>(1/Table4[[#This Row],[nm11]])*10^7</f>
        <v>#DIV/0!</v>
      </c>
      <c r="AS265" s="28"/>
      <c r="AT265" s="28">
        <f>Table4[[#This Row],[Φ]]*100</f>
        <v>0</v>
      </c>
      <c r="AU265" s="28"/>
      <c r="AV265" s="28"/>
    </row>
    <row r="266" spans="3:48" x14ac:dyDescent="0.3">
      <c r="C266" s="27" t="e">
        <f>VLOOKUP(Table4[[#This Row],[Marker name]],BaseInfos_Table[#All],6,FALSE)</f>
        <v>#N/A</v>
      </c>
      <c r="G266" s="41" t="e">
        <f>(1*10^7)/Table4[[#This Row],[cm-1]]</f>
        <v>#DIV/0!</v>
      </c>
      <c r="I266" s="41" t="e">
        <f>(1*10^7)/Table4[[#This Row],[cm-2]]</f>
        <v>#DIV/0!</v>
      </c>
      <c r="K266" s="41" t="e">
        <f>(1*10^7)/Table4[[#This Row],[cm-3]]</f>
        <v>#DIV/0!</v>
      </c>
      <c r="R266" s="41" t="e">
        <f>(1*10^7)/Table4[[#This Row],[nm2]]</f>
        <v>#DIV/0!</v>
      </c>
      <c r="T266" s="41" t="e">
        <f>(1*10^7)/Table4[[#This Row],[nm12]]</f>
        <v>#DIV/0!</v>
      </c>
      <c r="Z266" s="28"/>
      <c r="AA266" s="28"/>
      <c r="AB266" s="28" t="e">
        <f>(1/Table4[[#This Row],[nm5]])*10^7</f>
        <v>#DIV/0!</v>
      </c>
      <c r="AC266" s="28"/>
      <c r="AD266" s="28" t="e">
        <f>(1/Table4[[#This Row],[nm8]])*10^7</f>
        <v>#DIV/0!</v>
      </c>
      <c r="AE266" s="28"/>
      <c r="AF266" s="28" t="e">
        <f>(1/Table4[[#This Row],[nm9]])*10^7</f>
        <v>#DIV/0!</v>
      </c>
      <c r="AG266" s="28"/>
      <c r="AH266" s="28"/>
      <c r="AI266" s="28" t="e">
        <f>(1/Table4[[#This Row],[nm4]])*10^7</f>
        <v>#DIV/0!</v>
      </c>
      <c r="AJ266" s="28"/>
      <c r="AK266" s="28" t="e">
        <f>(1/Table4[[#This Row],[nm14]])*10^7</f>
        <v>#DIV/0!</v>
      </c>
      <c r="AL266" s="28"/>
      <c r="AM266" s="28"/>
      <c r="AN266" s="28" t="e">
        <f>(1/Table4[[#This Row],[nm28]])*10^7</f>
        <v>#DIV/0!</v>
      </c>
      <c r="AO266" s="28"/>
      <c r="AP266" s="28" t="e">
        <f>(1/Table4[[#This Row],[nm10]])*10^7</f>
        <v>#DIV/0!</v>
      </c>
      <c r="AQ266" s="28"/>
      <c r="AR266" s="28" t="e">
        <f>(1/Table4[[#This Row],[nm11]])*10^7</f>
        <v>#DIV/0!</v>
      </c>
      <c r="AS266" s="28"/>
      <c r="AT266" s="28">
        <f>Table4[[#This Row],[Φ]]*100</f>
        <v>0</v>
      </c>
      <c r="AU266" s="28"/>
      <c r="AV266" s="28"/>
    </row>
    <row r="267" spans="3:48" x14ac:dyDescent="0.3">
      <c r="C267" s="27" t="e">
        <f>VLOOKUP(Table4[[#This Row],[Marker name]],BaseInfos_Table[#All],6,FALSE)</f>
        <v>#N/A</v>
      </c>
      <c r="G267" s="41" t="e">
        <f>(1*10^7)/Table4[[#This Row],[cm-1]]</f>
        <v>#DIV/0!</v>
      </c>
      <c r="I267" s="41" t="e">
        <f>(1*10^7)/Table4[[#This Row],[cm-2]]</f>
        <v>#DIV/0!</v>
      </c>
      <c r="K267" s="41" t="e">
        <f>(1*10^7)/Table4[[#This Row],[cm-3]]</f>
        <v>#DIV/0!</v>
      </c>
      <c r="R267" s="41" t="e">
        <f>(1*10^7)/Table4[[#This Row],[nm2]]</f>
        <v>#DIV/0!</v>
      </c>
      <c r="T267" s="41" t="e">
        <f>(1*10^7)/Table4[[#This Row],[nm12]]</f>
        <v>#DIV/0!</v>
      </c>
      <c r="Z267" s="28"/>
      <c r="AA267" s="28"/>
      <c r="AB267" s="28" t="e">
        <f>(1/Table4[[#This Row],[nm5]])*10^7</f>
        <v>#DIV/0!</v>
      </c>
      <c r="AC267" s="28"/>
      <c r="AD267" s="28" t="e">
        <f>(1/Table4[[#This Row],[nm8]])*10^7</f>
        <v>#DIV/0!</v>
      </c>
      <c r="AE267" s="28"/>
      <c r="AF267" s="28" t="e">
        <f>(1/Table4[[#This Row],[nm9]])*10^7</f>
        <v>#DIV/0!</v>
      </c>
      <c r="AG267" s="28"/>
      <c r="AH267" s="28"/>
      <c r="AI267" s="28" t="e">
        <f>(1/Table4[[#This Row],[nm4]])*10^7</f>
        <v>#DIV/0!</v>
      </c>
      <c r="AJ267" s="28"/>
      <c r="AK267" s="28" t="e">
        <f>(1/Table4[[#This Row],[nm14]])*10^7</f>
        <v>#DIV/0!</v>
      </c>
      <c r="AL267" s="28"/>
      <c r="AM267" s="28"/>
      <c r="AN267" s="28" t="e">
        <f>(1/Table4[[#This Row],[nm28]])*10^7</f>
        <v>#DIV/0!</v>
      </c>
      <c r="AO267" s="28"/>
      <c r="AP267" s="28" t="e">
        <f>(1/Table4[[#This Row],[nm10]])*10^7</f>
        <v>#DIV/0!</v>
      </c>
      <c r="AQ267" s="28"/>
      <c r="AR267" s="28" t="e">
        <f>(1/Table4[[#This Row],[nm11]])*10^7</f>
        <v>#DIV/0!</v>
      </c>
      <c r="AS267" s="28"/>
      <c r="AT267" s="28">
        <f>Table4[[#This Row],[Φ]]*100</f>
        <v>0</v>
      </c>
      <c r="AU267" s="28"/>
      <c r="AV267" s="28"/>
    </row>
    <row r="268" spans="3:48" x14ac:dyDescent="0.3">
      <c r="C268" s="27" t="e">
        <f>VLOOKUP(Table4[[#This Row],[Marker name]],BaseInfos_Table[#All],6,FALSE)</f>
        <v>#N/A</v>
      </c>
      <c r="G268" s="41" t="e">
        <f>(1*10^7)/Table4[[#This Row],[cm-1]]</f>
        <v>#DIV/0!</v>
      </c>
      <c r="I268" s="41" t="e">
        <f>(1*10^7)/Table4[[#This Row],[cm-2]]</f>
        <v>#DIV/0!</v>
      </c>
      <c r="K268" s="41" t="e">
        <f>(1*10^7)/Table4[[#This Row],[cm-3]]</f>
        <v>#DIV/0!</v>
      </c>
      <c r="R268" s="41" t="e">
        <f>(1*10^7)/Table4[[#This Row],[nm2]]</f>
        <v>#DIV/0!</v>
      </c>
      <c r="T268" s="41" t="e">
        <f>(1*10^7)/Table4[[#This Row],[nm12]]</f>
        <v>#DIV/0!</v>
      </c>
      <c r="Z268" s="28"/>
      <c r="AA268" s="28"/>
      <c r="AB268" s="28" t="e">
        <f>(1/Table4[[#This Row],[nm5]])*10^7</f>
        <v>#DIV/0!</v>
      </c>
      <c r="AC268" s="28"/>
      <c r="AD268" s="28" t="e">
        <f>(1/Table4[[#This Row],[nm8]])*10^7</f>
        <v>#DIV/0!</v>
      </c>
      <c r="AE268" s="28"/>
      <c r="AF268" s="28" t="e">
        <f>(1/Table4[[#This Row],[nm9]])*10^7</f>
        <v>#DIV/0!</v>
      </c>
      <c r="AG268" s="28"/>
      <c r="AH268" s="28"/>
      <c r="AI268" s="28" t="e">
        <f>(1/Table4[[#This Row],[nm4]])*10^7</f>
        <v>#DIV/0!</v>
      </c>
      <c r="AJ268" s="28"/>
      <c r="AK268" s="28" t="e">
        <f>(1/Table4[[#This Row],[nm14]])*10^7</f>
        <v>#DIV/0!</v>
      </c>
      <c r="AL268" s="28"/>
      <c r="AM268" s="28"/>
      <c r="AN268" s="28" t="e">
        <f>(1/Table4[[#This Row],[nm28]])*10^7</f>
        <v>#DIV/0!</v>
      </c>
      <c r="AO268" s="28"/>
      <c r="AP268" s="28" t="e">
        <f>(1/Table4[[#This Row],[nm10]])*10^7</f>
        <v>#DIV/0!</v>
      </c>
      <c r="AQ268" s="28"/>
      <c r="AR268" s="28" t="e">
        <f>(1/Table4[[#This Row],[nm11]])*10^7</f>
        <v>#DIV/0!</v>
      </c>
      <c r="AS268" s="28"/>
      <c r="AT268" s="28">
        <f>Table4[[#This Row],[Φ]]*100</f>
        <v>0</v>
      </c>
      <c r="AU268" s="28"/>
      <c r="AV268" s="28"/>
    </row>
    <row r="269" spans="3:48" x14ac:dyDescent="0.3">
      <c r="C269" s="27" t="e">
        <f>VLOOKUP(Table4[[#This Row],[Marker name]],BaseInfos_Table[#All],6,FALSE)</f>
        <v>#N/A</v>
      </c>
      <c r="G269" s="41" t="e">
        <f>(1*10^7)/Table4[[#This Row],[cm-1]]</f>
        <v>#DIV/0!</v>
      </c>
      <c r="I269" s="41" t="e">
        <f>(1*10^7)/Table4[[#This Row],[cm-2]]</f>
        <v>#DIV/0!</v>
      </c>
      <c r="K269" s="41" t="e">
        <f>(1*10^7)/Table4[[#This Row],[cm-3]]</f>
        <v>#DIV/0!</v>
      </c>
      <c r="R269" s="41" t="e">
        <f>(1*10^7)/Table4[[#This Row],[nm2]]</f>
        <v>#DIV/0!</v>
      </c>
      <c r="T269" s="41" t="e">
        <f>(1*10^7)/Table4[[#This Row],[nm12]]</f>
        <v>#DIV/0!</v>
      </c>
      <c r="Z269" s="28"/>
      <c r="AA269" s="28"/>
      <c r="AB269" s="28" t="e">
        <f>(1/Table4[[#This Row],[nm5]])*10^7</f>
        <v>#DIV/0!</v>
      </c>
      <c r="AC269" s="28"/>
      <c r="AD269" s="28" t="e">
        <f>(1/Table4[[#This Row],[nm8]])*10^7</f>
        <v>#DIV/0!</v>
      </c>
      <c r="AE269" s="28"/>
      <c r="AF269" s="28" t="e">
        <f>(1/Table4[[#This Row],[nm9]])*10^7</f>
        <v>#DIV/0!</v>
      </c>
      <c r="AG269" s="28"/>
      <c r="AH269" s="28"/>
      <c r="AI269" s="28" t="e">
        <f>(1/Table4[[#This Row],[nm4]])*10^7</f>
        <v>#DIV/0!</v>
      </c>
      <c r="AJ269" s="28"/>
      <c r="AK269" s="28" t="e">
        <f>(1/Table4[[#This Row],[nm14]])*10^7</f>
        <v>#DIV/0!</v>
      </c>
      <c r="AL269" s="28"/>
      <c r="AM269" s="28"/>
      <c r="AN269" s="28" t="e">
        <f>(1/Table4[[#This Row],[nm28]])*10^7</f>
        <v>#DIV/0!</v>
      </c>
      <c r="AO269" s="28"/>
      <c r="AP269" s="28" t="e">
        <f>(1/Table4[[#This Row],[nm10]])*10^7</f>
        <v>#DIV/0!</v>
      </c>
      <c r="AQ269" s="28"/>
      <c r="AR269" s="28" t="e">
        <f>(1/Table4[[#This Row],[nm11]])*10^7</f>
        <v>#DIV/0!</v>
      </c>
      <c r="AS269" s="28"/>
      <c r="AT269" s="28">
        <f>Table4[[#This Row],[Φ]]*100</f>
        <v>0</v>
      </c>
      <c r="AU269" s="28"/>
      <c r="AV269" s="28"/>
    </row>
    <row r="270" spans="3:48" x14ac:dyDescent="0.3">
      <c r="C270" s="27" t="e">
        <f>VLOOKUP(Table4[[#This Row],[Marker name]],BaseInfos_Table[#All],6,FALSE)</f>
        <v>#N/A</v>
      </c>
      <c r="G270" s="41" t="e">
        <f>(1*10^7)/Table4[[#This Row],[cm-1]]</f>
        <v>#DIV/0!</v>
      </c>
      <c r="I270" s="41" t="e">
        <f>(1*10^7)/Table4[[#This Row],[cm-2]]</f>
        <v>#DIV/0!</v>
      </c>
      <c r="K270" s="41" t="e">
        <f>(1*10^7)/Table4[[#This Row],[cm-3]]</f>
        <v>#DIV/0!</v>
      </c>
      <c r="R270" s="41" t="e">
        <f>(1*10^7)/Table4[[#This Row],[nm2]]</f>
        <v>#DIV/0!</v>
      </c>
      <c r="T270" s="41" t="e">
        <f>(1*10^7)/Table4[[#This Row],[nm12]]</f>
        <v>#DIV/0!</v>
      </c>
      <c r="Z270" s="28"/>
      <c r="AA270" s="28"/>
      <c r="AB270" s="28" t="e">
        <f>(1/Table4[[#This Row],[nm5]])*10^7</f>
        <v>#DIV/0!</v>
      </c>
      <c r="AC270" s="28"/>
      <c r="AD270" s="28" t="e">
        <f>(1/Table4[[#This Row],[nm8]])*10^7</f>
        <v>#DIV/0!</v>
      </c>
      <c r="AE270" s="28"/>
      <c r="AF270" s="28" t="e">
        <f>(1/Table4[[#This Row],[nm9]])*10^7</f>
        <v>#DIV/0!</v>
      </c>
      <c r="AG270" s="28"/>
      <c r="AH270" s="28"/>
      <c r="AI270" s="28" t="e">
        <f>(1/Table4[[#This Row],[nm4]])*10^7</f>
        <v>#DIV/0!</v>
      </c>
      <c r="AJ270" s="28"/>
      <c r="AK270" s="28" t="e">
        <f>(1/Table4[[#This Row],[nm14]])*10^7</f>
        <v>#DIV/0!</v>
      </c>
      <c r="AL270" s="28"/>
      <c r="AM270" s="28"/>
      <c r="AN270" s="28" t="e">
        <f>(1/Table4[[#This Row],[nm28]])*10^7</f>
        <v>#DIV/0!</v>
      </c>
      <c r="AO270" s="28"/>
      <c r="AP270" s="28" t="e">
        <f>(1/Table4[[#This Row],[nm10]])*10^7</f>
        <v>#DIV/0!</v>
      </c>
      <c r="AQ270" s="28"/>
      <c r="AR270" s="28" t="e">
        <f>(1/Table4[[#This Row],[nm11]])*10^7</f>
        <v>#DIV/0!</v>
      </c>
      <c r="AS270" s="28"/>
      <c r="AT270" s="28">
        <f>Table4[[#This Row],[Φ]]*100</f>
        <v>0</v>
      </c>
      <c r="AU270" s="28"/>
      <c r="AV270" s="28"/>
    </row>
    <row r="271" spans="3:48" x14ac:dyDescent="0.3">
      <c r="C271" s="27" t="e">
        <f>VLOOKUP(Table4[[#This Row],[Marker name]],BaseInfos_Table[#All],6,FALSE)</f>
        <v>#N/A</v>
      </c>
      <c r="G271" s="41" t="e">
        <f>(1*10^7)/Table4[[#This Row],[cm-1]]</f>
        <v>#DIV/0!</v>
      </c>
      <c r="I271" s="41" t="e">
        <f>(1*10^7)/Table4[[#This Row],[cm-2]]</f>
        <v>#DIV/0!</v>
      </c>
      <c r="K271" s="41" t="e">
        <f>(1*10^7)/Table4[[#This Row],[cm-3]]</f>
        <v>#DIV/0!</v>
      </c>
      <c r="R271" s="41" t="e">
        <f>(1*10^7)/Table4[[#This Row],[nm2]]</f>
        <v>#DIV/0!</v>
      </c>
      <c r="T271" s="41" t="e">
        <f>(1*10^7)/Table4[[#This Row],[nm12]]</f>
        <v>#DIV/0!</v>
      </c>
      <c r="Z271" s="28"/>
      <c r="AA271" s="28"/>
      <c r="AB271" s="28" t="e">
        <f>(1/Table4[[#This Row],[nm5]])*10^7</f>
        <v>#DIV/0!</v>
      </c>
      <c r="AC271" s="28"/>
      <c r="AD271" s="28" t="e">
        <f>(1/Table4[[#This Row],[nm8]])*10^7</f>
        <v>#DIV/0!</v>
      </c>
      <c r="AE271" s="28"/>
      <c r="AF271" s="28" t="e">
        <f>(1/Table4[[#This Row],[nm9]])*10^7</f>
        <v>#DIV/0!</v>
      </c>
      <c r="AG271" s="28"/>
      <c r="AH271" s="28"/>
      <c r="AI271" s="28" t="e">
        <f>(1/Table4[[#This Row],[nm4]])*10^7</f>
        <v>#DIV/0!</v>
      </c>
      <c r="AJ271" s="28"/>
      <c r="AK271" s="28" t="e">
        <f>(1/Table4[[#This Row],[nm14]])*10^7</f>
        <v>#DIV/0!</v>
      </c>
      <c r="AL271" s="28"/>
      <c r="AM271" s="28"/>
      <c r="AN271" s="28" t="e">
        <f>(1/Table4[[#This Row],[nm28]])*10^7</f>
        <v>#DIV/0!</v>
      </c>
      <c r="AO271" s="28"/>
      <c r="AP271" s="28" t="e">
        <f>(1/Table4[[#This Row],[nm10]])*10^7</f>
        <v>#DIV/0!</v>
      </c>
      <c r="AQ271" s="28"/>
      <c r="AR271" s="28" t="e">
        <f>(1/Table4[[#This Row],[nm11]])*10^7</f>
        <v>#DIV/0!</v>
      </c>
      <c r="AS271" s="28"/>
      <c r="AT271" s="28">
        <f>Table4[[#This Row],[Φ]]*100</f>
        <v>0</v>
      </c>
      <c r="AU271" s="28"/>
      <c r="AV271" s="28"/>
    </row>
    <row r="272" spans="3:48" x14ac:dyDescent="0.3">
      <c r="C272" s="27" t="e">
        <f>VLOOKUP(Table4[[#This Row],[Marker name]],BaseInfos_Table[#All],6,FALSE)</f>
        <v>#N/A</v>
      </c>
      <c r="G272" s="41" t="e">
        <f>(1*10^7)/Table4[[#This Row],[cm-1]]</f>
        <v>#DIV/0!</v>
      </c>
      <c r="I272" s="41" t="e">
        <f>(1*10^7)/Table4[[#This Row],[cm-2]]</f>
        <v>#DIV/0!</v>
      </c>
      <c r="K272" s="41" t="e">
        <f>(1*10^7)/Table4[[#This Row],[cm-3]]</f>
        <v>#DIV/0!</v>
      </c>
      <c r="R272" s="41" t="e">
        <f>(1*10^7)/Table4[[#This Row],[nm2]]</f>
        <v>#DIV/0!</v>
      </c>
      <c r="T272" s="41" t="e">
        <f>(1*10^7)/Table4[[#This Row],[nm12]]</f>
        <v>#DIV/0!</v>
      </c>
      <c r="Z272" s="28"/>
      <c r="AA272" s="28"/>
      <c r="AB272" s="28" t="e">
        <f>(1/Table4[[#This Row],[nm5]])*10^7</f>
        <v>#DIV/0!</v>
      </c>
      <c r="AC272" s="28"/>
      <c r="AD272" s="28" t="e">
        <f>(1/Table4[[#This Row],[nm8]])*10^7</f>
        <v>#DIV/0!</v>
      </c>
      <c r="AE272" s="28"/>
      <c r="AF272" s="28" t="e">
        <f>(1/Table4[[#This Row],[nm9]])*10^7</f>
        <v>#DIV/0!</v>
      </c>
      <c r="AG272" s="28"/>
      <c r="AH272" s="28"/>
      <c r="AI272" s="28" t="e">
        <f>(1/Table4[[#This Row],[nm4]])*10^7</f>
        <v>#DIV/0!</v>
      </c>
      <c r="AJ272" s="28"/>
      <c r="AK272" s="28" t="e">
        <f>(1/Table4[[#This Row],[nm14]])*10^7</f>
        <v>#DIV/0!</v>
      </c>
      <c r="AL272" s="28"/>
      <c r="AM272" s="28"/>
      <c r="AN272" s="28" t="e">
        <f>(1/Table4[[#This Row],[nm28]])*10^7</f>
        <v>#DIV/0!</v>
      </c>
      <c r="AO272" s="28"/>
      <c r="AP272" s="28" t="e">
        <f>(1/Table4[[#This Row],[nm10]])*10^7</f>
        <v>#DIV/0!</v>
      </c>
      <c r="AQ272" s="28"/>
      <c r="AR272" s="28" t="e">
        <f>(1/Table4[[#This Row],[nm11]])*10^7</f>
        <v>#DIV/0!</v>
      </c>
      <c r="AS272" s="28"/>
      <c r="AT272" s="28">
        <f>Table4[[#This Row],[Φ]]*100</f>
        <v>0</v>
      </c>
      <c r="AU272" s="28"/>
      <c r="AV272" s="28"/>
    </row>
    <row r="273" spans="3:48" x14ac:dyDescent="0.3">
      <c r="C273" s="27" t="e">
        <f>VLOOKUP(Table4[[#This Row],[Marker name]],BaseInfos_Table[#All],6,FALSE)</f>
        <v>#N/A</v>
      </c>
      <c r="G273" s="41" t="e">
        <f>(1*10^7)/Table4[[#This Row],[cm-1]]</f>
        <v>#DIV/0!</v>
      </c>
      <c r="I273" s="41" t="e">
        <f>(1*10^7)/Table4[[#This Row],[cm-2]]</f>
        <v>#DIV/0!</v>
      </c>
      <c r="K273" s="41" t="e">
        <f>(1*10^7)/Table4[[#This Row],[cm-3]]</f>
        <v>#DIV/0!</v>
      </c>
      <c r="R273" s="41" t="e">
        <f>(1*10^7)/Table4[[#This Row],[nm2]]</f>
        <v>#DIV/0!</v>
      </c>
      <c r="T273" s="41" t="e">
        <f>(1*10^7)/Table4[[#This Row],[nm12]]</f>
        <v>#DIV/0!</v>
      </c>
      <c r="Z273" s="28"/>
      <c r="AA273" s="28"/>
      <c r="AB273" s="28" t="e">
        <f>(1/Table4[[#This Row],[nm5]])*10^7</f>
        <v>#DIV/0!</v>
      </c>
      <c r="AC273" s="28"/>
      <c r="AD273" s="28" t="e">
        <f>(1/Table4[[#This Row],[nm8]])*10^7</f>
        <v>#DIV/0!</v>
      </c>
      <c r="AE273" s="28"/>
      <c r="AF273" s="28" t="e">
        <f>(1/Table4[[#This Row],[nm9]])*10^7</f>
        <v>#DIV/0!</v>
      </c>
      <c r="AG273" s="28"/>
      <c r="AH273" s="28"/>
      <c r="AI273" s="28" t="e">
        <f>(1/Table4[[#This Row],[nm4]])*10^7</f>
        <v>#DIV/0!</v>
      </c>
      <c r="AJ273" s="28"/>
      <c r="AK273" s="28" t="e">
        <f>(1/Table4[[#This Row],[nm14]])*10^7</f>
        <v>#DIV/0!</v>
      </c>
      <c r="AL273" s="28"/>
      <c r="AM273" s="28"/>
      <c r="AN273" s="28" t="e">
        <f>(1/Table4[[#This Row],[nm28]])*10^7</f>
        <v>#DIV/0!</v>
      </c>
      <c r="AO273" s="28"/>
      <c r="AP273" s="28" t="e">
        <f>(1/Table4[[#This Row],[nm10]])*10^7</f>
        <v>#DIV/0!</v>
      </c>
      <c r="AQ273" s="28"/>
      <c r="AR273" s="28" t="e">
        <f>(1/Table4[[#This Row],[nm11]])*10^7</f>
        <v>#DIV/0!</v>
      </c>
      <c r="AS273" s="28"/>
      <c r="AT273" s="28">
        <f>Table4[[#This Row],[Φ]]*100</f>
        <v>0</v>
      </c>
      <c r="AU273" s="28"/>
      <c r="AV273" s="28"/>
    </row>
    <row r="274" spans="3:48" x14ac:dyDescent="0.3">
      <c r="C274" s="27" t="e">
        <f>VLOOKUP(Table4[[#This Row],[Marker name]],BaseInfos_Table[#All],6,FALSE)</f>
        <v>#N/A</v>
      </c>
      <c r="G274" s="41" t="e">
        <f>(1*10^7)/Table4[[#This Row],[cm-1]]</f>
        <v>#DIV/0!</v>
      </c>
      <c r="I274" s="41" t="e">
        <f>(1*10^7)/Table4[[#This Row],[cm-2]]</f>
        <v>#DIV/0!</v>
      </c>
      <c r="K274" s="41" t="e">
        <f>(1*10^7)/Table4[[#This Row],[cm-3]]</f>
        <v>#DIV/0!</v>
      </c>
      <c r="R274" s="41" t="e">
        <f>(1*10^7)/Table4[[#This Row],[nm2]]</f>
        <v>#DIV/0!</v>
      </c>
      <c r="T274" s="41" t="e">
        <f>(1*10^7)/Table4[[#This Row],[nm12]]</f>
        <v>#DIV/0!</v>
      </c>
      <c r="Z274" s="28"/>
      <c r="AA274" s="28"/>
      <c r="AB274" s="28" t="e">
        <f>(1/Table4[[#This Row],[nm5]])*10^7</f>
        <v>#DIV/0!</v>
      </c>
      <c r="AC274" s="28"/>
      <c r="AD274" s="28" t="e">
        <f>(1/Table4[[#This Row],[nm8]])*10^7</f>
        <v>#DIV/0!</v>
      </c>
      <c r="AE274" s="28"/>
      <c r="AF274" s="28" t="e">
        <f>(1/Table4[[#This Row],[nm9]])*10^7</f>
        <v>#DIV/0!</v>
      </c>
      <c r="AG274" s="28"/>
      <c r="AH274" s="28"/>
      <c r="AI274" s="28" t="e">
        <f>(1/Table4[[#This Row],[nm4]])*10^7</f>
        <v>#DIV/0!</v>
      </c>
      <c r="AJ274" s="28"/>
      <c r="AK274" s="28" t="e">
        <f>(1/Table4[[#This Row],[nm14]])*10^7</f>
        <v>#DIV/0!</v>
      </c>
      <c r="AL274" s="28"/>
      <c r="AM274" s="28"/>
      <c r="AN274" s="28" t="e">
        <f>(1/Table4[[#This Row],[nm28]])*10^7</f>
        <v>#DIV/0!</v>
      </c>
      <c r="AO274" s="28"/>
      <c r="AP274" s="28" t="e">
        <f>(1/Table4[[#This Row],[nm10]])*10^7</f>
        <v>#DIV/0!</v>
      </c>
      <c r="AQ274" s="28"/>
      <c r="AR274" s="28" t="e">
        <f>(1/Table4[[#This Row],[nm11]])*10^7</f>
        <v>#DIV/0!</v>
      </c>
      <c r="AS274" s="28"/>
      <c r="AT274" s="28">
        <f>Table4[[#This Row],[Φ]]*100</f>
        <v>0</v>
      </c>
      <c r="AU274" s="28"/>
      <c r="AV274" s="28"/>
    </row>
    <row r="275" spans="3:48" x14ac:dyDescent="0.3">
      <c r="C275" s="27" t="e">
        <f>VLOOKUP(Table4[[#This Row],[Marker name]],BaseInfos_Table[#All],6,FALSE)</f>
        <v>#N/A</v>
      </c>
      <c r="G275" s="41" t="e">
        <f>(1*10^7)/Table4[[#This Row],[cm-1]]</f>
        <v>#DIV/0!</v>
      </c>
      <c r="I275" s="41" t="e">
        <f>(1*10^7)/Table4[[#This Row],[cm-2]]</f>
        <v>#DIV/0!</v>
      </c>
      <c r="K275" s="41" t="e">
        <f>(1*10^7)/Table4[[#This Row],[cm-3]]</f>
        <v>#DIV/0!</v>
      </c>
      <c r="R275" s="41" t="e">
        <f>(1*10^7)/Table4[[#This Row],[nm2]]</f>
        <v>#DIV/0!</v>
      </c>
      <c r="T275" s="41" t="e">
        <f>(1*10^7)/Table4[[#This Row],[nm12]]</f>
        <v>#DIV/0!</v>
      </c>
      <c r="Z275" s="28"/>
      <c r="AA275" s="28"/>
      <c r="AB275" s="28" t="e">
        <f>(1/Table4[[#This Row],[nm5]])*10^7</f>
        <v>#DIV/0!</v>
      </c>
      <c r="AC275" s="28"/>
      <c r="AD275" s="28" t="e">
        <f>(1/Table4[[#This Row],[nm8]])*10^7</f>
        <v>#DIV/0!</v>
      </c>
      <c r="AE275" s="28"/>
      <c r="AF275" s="28" t="e">
        <f>(1/Table4[[#This Row],[nm9]])*10^7</f>
        <v>#DIV/0!</v>
      </c>
      <c r="AG275" s="28"/>
      <c r="AH275" s="28"/>
      <c r="AI275" s="28" t="e">
        <f>(1/Table4[[#This Row],[nm4]])*10^7</f>
        <v>#DIV/0!</v>
      </c>
      <c r="AJ275" s="28"/>
      <c r="AK275" s="28" t="e">
        <f>(1/Table4[[#This Row],[nm14]])*10^7</f>
        <v>#DIV/0!</v>
      </c>
      <c r="AL275" s="28"/>
      <c r="AM275" s="28"/>
      <c r="AN275" s="28" t="e">
        <f>(1/Table4[[#This Row],[nm28]])*10^7</f>
        <v>#DIV/0!</v>
      </c>
      <c r="AO275" s="28"/>
      <c r="AP275" s="28" t="e">
        <f>(1/Table4[[#This Row],[nm10]])*10^7</f>
        <v>#DIV/0!</v>
      </c>
      <c r="AQ275" s="28"/>
      <c r="AR275" s="28" t="e">
        <f>(1/Table4[[#This Row],[nm11]])*10^7</f>
        <v>#DIV/0!</v>
      </c>
      <c r="AS275" s="28"/>
      <c r="AT275" s="28">
        <f>Table4[[#This Row],[Φ]]*100</f>
        <v>0</v>
      </c>
      <c r="AU275" s="28"/>
      <c r="AV275" s="28"/>
    </row>
    <row r="276" spans="3:48" x14ac:dyDescent="0.3">
      <c r="C276" s="27" t="e">
        <f>VLOOKUP(Table4[[#This Row],[Marker name]],BaseInfos_Table[#All],6,FALSE)</f>
        <v>#N/A</v>
      </c>
      <c r="G276" s="41" t="e">
        <f>(1*10^7)/Table4[[#This Row],[cm-1]]</f>
        <v>#DIV/0!</v>
      </c>
      <c r="I276" s="41" t="e">
        <f>(1*10^7)/Table4[[#This Row],[cm-2]]</f>
        <v>#DIV/0!</v>
      </c>
      <c r="K276" s="41" t="e">
        <f>(1*10^7)/Table4[[#This Row],[cm-3]]</f>
        <v>#DIV/0!</v>
      </c>
      <c r="R276" s="41" t="e">
        <f>(1*10^7)/Table4[[#This Row],[nm2]]</f>
        <v>#DIV/0!</v>
      </c>
      <c r="T276" s="41" t="e">
        <f>(1*10^7)/Table4[[#This Row],[nm12]]</f>
        <v>#DIV/0!</v>
      </c>
      <c r="Z276" s="28"/>
      <c r="AA276" s="28"/>
      <c r="AB276" s="28" t="e">
        <f>(1/Table4[[#This Row],[nm5]])*10^7</f>
        <v>#DIV/0!</v>
      </c>
      <c r="AC276" s="28"/>
      <c r="AD276" s="28" t="e">
        <f>(1/Table4[[#This Row],[nm8]])*10^7</f>
        <v>#DIV/0!</v>
      </c>
      <c r="AE276" s="28"/>
      <c r="AF276" s="28" t="e">
        <f>(1/Table4[[#This Row],[nm9]])*10^7</f>
        <v>#DIV/0!</v>
      </c>
      <c r="AG276" s="28"/>
      <c r="AH276" s="28"/>
      <c r="AI276" s="28" t="e">
        <f>(1/Table4[[#This Row],[nm4]])*10^7</f>
        <v>#DIV/0!</v>
      </c>
      <c r="AJ276" s="28"/>
      <c r="AK276" s="28" t="e">
        <f>(1/Table4[[#This Row],[nm14]])*10^7</f>
        <v>#DIV/0!</v>
      </c>
      <c r="AL276" s="28"/>
      <c r="AM276" s="28"/>
      <c r="AN276" s="28" t="e">
        <f>(1/Table4[[#This Row],[nm28]])*10^7</f>
        <v>#DIV/0!</v>
      </c>
      <c r="AO276" s="28"/>
      <c r="AP276" s="28" t="e">
        <f>(1/Table4[[#This Row],[nm10]])*10^7</f>
        <v>#DIV/0!</v>
      </c>
      <c r="AQ276" s="28"/>
      <c r="AR276" s="28" t="e">
        <f>(1/Table4[[#This Row],[nm11]])*10^7</f>
        <v>#DIV/0!</v>
      </c>
      <c r="AS276" s="28"/>
      <c r="AT276" s="28">
        <f>Table4[[#This Row],[Φ]]*100</f>
        <v>0</v>
      </c>
      <c r="AU276" s="28"/>
      <c r="AV276" s="28"/>
    </row>
    <row r="277" spans="3:48" x14ac:dyDescent="0.3">
      <c r="C277" s="27" t="e">
        <f>VLOOKUP(Table4[[#This Row],[Marker name]],BaseInfos_Table[#All],6,FALSE)</f>
        <v>#N/A</v>
      </c>
      <c r="G277" s="41" t="e">
        <f>(1*10^7)/Table4[[#This Row],[cm-1]]</f>
        <v>#DIV/0!</v>
      </c>
      <c r="I277" s="41" t="e">
        <f>(1*10^7)/Table4[[#This Row],[cm-2]]</f>
        <v>#DIV/0!</v>
      </c>
      <c r="K277" s="41" t="e">
        <f>(1*10^7)/Table4[[#This Row],[cm-3]]</f>
        <v>#DIV/0!</v>
      </c>
      <c r="R277" s="41" t="e">
        <f>(1*10^7)/Table4[[#This Row],[nm2]]</f>
        <v>#DIV/0!</v>
      </c>
      <c r="T277" s="41" t="e">
        <f>(1*10^7)/Table4[[#This Row],[nm12]]</f>
        <v>#DIV/0!</v>
      </c>
      <c r="Z277" s="28"/>
      <c r="AA277" s="28"/>
      <c r="AB277" s="28" t="e">
        <f>(1/Table4[[#This Row],[nm5]])*10^7</f>
        <v>#DIV/0!</v>
      </c>
      <c r="AC277" s="28"/>
      <c r="AD277" s="28" t="e">
        <f>(1/Table4[[#This Row],[nm8]])*10^7</f>
        <v>#DIV/0!</v>
      </c>
      <c r="AE277" s="28"/>
      <c r="AF277" s="28" t="e">
        <f>(1/Table4[[#This Row],[nm9]])*10^7</f>
        <v>#DIV/0!</v>
      </c>
      <c r="AG277" s="28"/>
      <c r="AH277" s="28"/>
      <c r="AI277" s="28" t="e">
        <f>(1/Table4[[#This Row],[nm4]])*10^7</f>
        <v>#DIV/0!</v>
      </c>
      <c r="AJ277" s="28"/>
      <c r="AK277" s="28" t="e">
        <f>(1/Table4[[#This Row],[nm14]])*10^7</f>
        <v>#DIV/0!</v>
      </c>
      <c r="AL277" s="28"/>
      <c r="AM277" s="28"/>
      <c r="AN277" s="28" t="e">
        <f>(1/Table4[[#This Row],[nm28]])*10^7</f>
        <v>#DIV/0!</v>
      </c>
      <c r="AO277" s="28"/>
      <c r="AP277" s="28" t="e">
        <f>(1/Table4[[#This Row],[nm10]])*10^7</f>
        <v>#DIV/0!</v>
      </c>
      <c r="AQ277" s="28"/>
      <c r="AR277" s="28" t="e">
        <f>(1/Table4[[#This Row],[nm11]])*10^7</f>
        <v>#DIV/0!</v>
      </c>
      <c r="AS277" s="28"/>
      <c r="AT277" s="28">
        <f>Table4[[#This Row],[Φ]]*100</f>
        <v>0</v>
      </c>
      <c r="AU277" s="28"/>
      <c r="AV277" s="28"/>
    </row>
    <row r="278" spans="3:48" x14ac:dyDescent="0.3">
      <c r="C278" s="27" t="e">
        <f>VLOOKUP(Table4[[#This Row],[Marker name]],BaseInfos_Table[#All],6,FALSE)</f>
        <v>#N/A</v>
      </c>
      <c r="G278" s="41" t="e">
        <f>(1*10^7)/Table4[[#This Row],[cm-1]]</f>
        <v>#DIV/0!</v>
      </c>
      <c r="I278" s="41" t="e">
        <f>(1*10^7)/Table4[[#This Row],[cm-2]]</f>
        <v>#DIV/0!</v>
      </c>
      <c r="K278" s="41" t="e">
        <f>(1*10^7)/Table4[[#This Row],[cm-3]]</f>
        <v>#DIV/0!</v>
      </c>
      <c r="R278" s="41" t="e">
        <f>(1*10^7)/Table4[[#This Row],[nm2]]</f>
        <v>#DIV/0!</v>
      </c>
      <c r="T278" s="41" t="e">
        <f>(1*10^7)/Table4[[#This Row],[nm12]]</f>
        <v>#DIV/0!</v>
      </c>
      <c r="Z278" s="28"/>
      <c r="AA278" s="28"/>
      <c r="AB278" s="28" t="e">
        <f>(1/Table4[[#This Row],[nm5]])*10^7</f>
        <v>#DIV/0!</v>
      </c>
      <c r="AC278" s="28"/>
      <c r="AD278" s="28" t="e">
        <f>(1/Table4[[#This Row],[nm8]])*10^7</f>
        <v>#DIV/0!</v>
      </c>
      <c r="AE278" s="28"/>
      <c r="AF278" s="28" t="e">
        <f>(1/Table4[[#This Row],[nm9]])*10^7</f>
        <v>#DIV/0!</v>
      </c>
      <c r="AG278" s="28"/>
      <c r="AH278" s="28"/>
      <c r="AI278" s="28" t="e">
        <f>(1/Table4[[#This Row],[nm4]])*10^7</f>
        <v>#DIV/0!</v>
      </c>
      <c r="AJ278" s="28"/>
      <c r="AK278" s="28" t="e">
        <f>(1/Table4[[#This Row],[nm14]])*10^7</f>
        <v>#DIV/0!</v>
      </c>
      <c r="AL278" s="28"/>
      <c r="AM278" s="28"/>
      <c r="AN278" s="28" t="e">
        <f>(1/Table4[[#This Row],[nm28]])*10^7</f>
        <v>#DIV/0!</v>
      </c>
      <c r="AO278" s="28"/>
      <c r="AP278" s="28" t="e">
        <f>(1/Table4[[#This Row],[nm10]])*10^7</f>
        <v>#DIV/0!</v>
      </c>
      <c r="AQ278" s="28"/>
      <c r="AR278" s="28" t="e">
        <f>(1/Table4[[#This Row],[nm11]])*10^7</f>
        <v>#DIV/0!</v>
      </c>
      <c r="AS278" s="28"/>
      <c r="AT278" s="28">
        <f>Table4[[#This Row],[Φ]]*100</f>
        <v>0</v>
      </c>
      <c r="AU278" s="28"/>
      <c r="AV278" s="28"/>
    </row>
    <row r="279" spans="3:48" x14ac:dyDescent="0.3">
      <c r="C279" s="27" t="e">
        <f>VLOOKUP(Table4[[#This Row],[Marker name]],BaseInfos_Table[#All],6,FALSE)</f>
        <v>#N/A</v>
      </c>
      <c r="G279" s="41" t="e">
        <f>(1*10^7)/Table4[[#This Row],[cm-1]]</f>
        <v>#DIV/0!</v>
      </c>
      <c r="I279" s="41" t="e">
        <f>(1*10^7)/Table4[[#This Row],[cm-2]]</f>
        <v>#DIV/0!</v>
      </c>
      <c r="K279" s="41" t="e">
        <f>(1*10^7)/Table4[[#This Row],[cm-3]]</f>
        <v>#DIV/0!</v>
      </c>
      <c r="R279" s="41" t="e">
        <f>(1*10^7)/Table4[[#This Row],[nm2]]</f>
        <v>#DIV/0!</v>
      </c>
      <c r="T279" s="41" t="e">
        <f>(1*10^7)/Table4[[#This Row],[nm12]]</f>
        <v>#DIV/0!</v>
      </c>
      <c r="Z279" s="28"/>
      <c r="AA279" s="28"/>
      <c r="AB279" s="28" t="e">
        <f>(1/Table4[[#This Row],[nm5]])*10^7</f>
        <v>#DIV/0!</v>
      </c>
      <c r="AC279" s="28"/>
      <c r="AD279" s="28" t="e">
        <f>(1/Table4[[#This Row],[nm8]])*10^7</f>
        <v>#DIV/0!</v>
      </c>
      <c r="AE279" s="28"/>
      <c r="AF279" s="28" t="e">
        <f>(1/Table4[[#This Row],[nm9]])*10^7</f>
        <v>#DIV/0!</v>
      </c>
      <c r="AG279" s="28"/>
      <c r="AH279" s="28"/>
      <c r="AI279" s="28" t="e">
        <f>(1/Table4[[#This Row],[nm4]])*10^7</f>
        <v>#DIV/0!</v>
      </c>
      <c r="AJ279" s="28"/>
      <c r="AK279" s="28" t="e">
        <f>(1/Table4[[#This Row],[nm14]])*10^7</f>
        <v>#DIV/0!</v>
      </c>
      <c r="AL279" s="28"/>
      <c r="AM279" s="28"/>
      <c r="AN279" s="28" t="e">
        <f>(1/Table4[[#This Row],[nm28]])*10^7</f>
        <v>#DIV/0!</v>
      </c>
      <c r="AO279" s="28"/>
      <c r="AP279" s="28" t="e">
        <f>(1/Table4[[#This Row],[nm10]])*10^7</f>
        <v>#DIV/0!</v>
      </c>
      <c r="AQ279" s="28"/>
      <c r="AR279" s="28" t="e">
        <f>(1/Table4[[#This Row],[nm11]])*10^7</f>
        <v>#DIV/0!</v>
      </c>
      <c r="AS279" s="28"/>
      <c r="AT279" s="28">
        <f>Table4[[#This Row],[Φ]]*100</f>
        <v>0</v>
      </c>
      <c r="AU279" s="28"/>
      <c r="AV279" s="28"/>
    </row>
    <row r="280" spans="3:48" x14ac:dyDescent="0.3">
      <c r="C280" s="27" t="e">
        <f>VLOOKUP(Table4[[#This Row],[Marker name]],BaseInfos_Table[#All],6,FALSE)</f>
        <v>#N/A</v>
      </c>
      <c r="G280" s="41" t="e">
        <f>(1*10^7)/Table4[[#This Row],[cm-1]]</f>
        <v>#DIV/0!</v>
      </c>
      <c r="I280" s="41" t="e">
        <f>(1*10^7)/Table4[[#This Row],[cm-2]]</f>
        <v>#DIV/0!</v>
      </c>
      <c r="K280" s="41" t="e">
        <f>(1*10^7)/Table4[[#This Row],[cm-3]]</f>
        <v>#DIV/0!</v>
      </c>
      <c r="R280" s="41" t="e">
        <f>(1*10^7)/Table4[[#This Row],[nm2]]</f>
        <v>#DIV/0!</v>
      </c>
      <c r="T280" s="41" t="e">
        <f>(1*10^7)/Table4[[#This Row],[nm12]]</f>
        <v>#DIV/0!</v>
      </c>
      <c r="Z280" s="28"/>
      <c r="AA280" s="28"/>
      <c r="AB280" s="28" t="e">
        <f>(1/Table4[[#This Row],[nm5]])*10^7</f>
        <v>#DIV/0!</v>
      </c>
      <c r="AC280" s="28"/>
      <c r="AD280" s="28" t="e">
        <f>(1/Table4[[#This Row],[nm8]])*10^7</f>
        <v>#DIV/0!</v>
      </c>
      <c r="AE280" s="28"/>
      <c r="AF280" s="28" t="e">
        <f>(1/Table4[[#This Row],[nm9]])*10^7</f>
        <v>#DIV/0!</v>
      </c>
      <c r="AG280" s="28"/>
      <c r="AH280" s="28"/>
      <c r="AI280" s="28" t="e">
        <f>(1/Table4[[#This Row],[nm4]])*10^7</f>
        <v>#DIV/0!</v>
      </c>
      <c r="AJ280" s="28"/>
      <c r="AK280" s="28" t="e">
        <f>(1/Table4[[#This Row],[nm14]])*10^7</f>
        <v>#DIV/0!</v>
      </c>
      <c r="AL280" s="28"/>
      <c r="AM280" s="28"/>
      <c r="AN280" s="28" t="e">
        <f>(1/Table4[[#This Row],[nm28]])*10^7</f>
        <v>#DIV/0!</v>
      </c>
      <c r="AO280" s="28"/>
      <c r="AP280" s="28" t="e">
        <f>(1/Table4[[#This Row],[nm10]])*10^7</f>
        <v>#DIV/0!</v>
      </c>
      <c r="AQ280" s="28"/>
      <c r="AR280" s="28" t="e">
        <f>(1/Table4[[#This Row],[nm11]])*10^7</f>
        <v>#DIV/0!</v>
      </c>
      <c r="AS280" s="28"/>
      <c r="AT280" s="28">
        <f>Table4[[#This Row],[Φ]]*100</f>
        <v>0</v>
      </c>
      <c r="AU280" s="28"/>
      <c r="AV280" s="28"/>
    </row>
    <row r="281" spans="3:48" x14ac:dyDescent="0.3">
      <c r="C281" s="27" t="e">
        <f>VLOOKUP(Table4[[#This Row],[Marker name]],BaseInfos_Table[#All],6,FALSE)</f>
        <v>#N/A</v>
      </c>
      <c r="G281" s="41" t="e">
        <f>(1*10^7)/Table4[[#This Row],[cm-1]]</f>
        <v>#DIV/0!</v>
      </c>
      <c r="I281" s="41" t="e">
        <f>(1*10^7)/Table4[[#This Row],[cm-2]]</f>
        <v>#DIV/0!</v>
      </c>
      <c r="K281" s="41" t="e">
        <f>(1*10^7)/Table4[[#This Row],[cm-3]]</f>
        <v>#DIV/0!</v>
      </c>
      <c r="R281" s="41" t="e">
        <f>(1*10^7)/Table4[[#This Row],[nm2]]</f>
        <v>#DIV/0!</v>
      </c>
      <c r="T281" s="41" t="e">
        <f>(1*10^7)/Table4[[#This Row],[nm12]]</f>
        <v>#DIV/0!</v>
      </c>
      <c r="Z281" s="28"/>
      <c r="AA281" s="28"/>
      <c r="AB281" s="28" t="e">
        <f>(1/Table4[[#This Row],[nm5]])*10^7</f>
        <v>#DIV/0!</v>
      </c>
      <c r="AC281" s="28"/>
      <c r="AD281" s="28" t="e">
        <f>(1/Table4[[#This Row],[nm8]])*10^7</f>
        <v>#DIV/0!</v>
      </c>
      <c r="AE281" s="28"/>
      <c r="AF281" s="28" t="e">
        <f>(1/Table4[[#This Row],[nm9]])*10^7</f>
        <v>#DIV/0!</v>
      </c>
      <c r="AG281" s="28"/>
      <c r="AH281" s="28"/>
      <c r="AI281" s="28" t="e">
        <f>(1/Table4[[#This Row],[nm4]])*10^7</f>
        <v>#DIV/0!</v>
      </c>
      <c r="AJ281" s="28"/>
      <c r="AK281" s="28" t="e">
        <f>(1/Table4[[#This Row],[nm14]])*10^7</f>
        <v>#DIV/0!</v>
      </c>
      <c r="AL281" s="28"/>
      <c r="AM281" s="28"/>
      <c r="AN281" s="28" t="e">
        <f>(1/Table4[[#This Row],[nm28]])*10^7</f>
        <v>#DIV/0!</v>
      </c>
      <c r="AO281" s="28"/>
      <c r="AP281" s="28" t="e">
        <f>(1/Table4[[#This Row],[nm10]])*10^7</f>
        <v>#DIV/0!</v>
      </c>
      <c r="AQ281" s="28"/>
      <c r="AR281" s="28" t="e">
        <f>(1/Table4[[#This Row],[nm11]])*10^7</f>
        <v>#DIV/0!</v>
      </c>
      <c r="AS281" s="28"/>
      <c r="AT281" s="28">
        <f>Table4[[#This Row],[Φ]]*100</f>
        <v>0</v>
      </c>
      <c r="AU281" s="28"/>
      <c r="AV281" s="28"/>
    </row>
    <row r="282" spans="3:48" x14ac:dyDescent="0.3">
      <c r="C282" s="27" t="e">
        <f>VLOOKUP(Table4[[#This Row],[Marker name]],BaseInfos_Table[#All],6,FALSE)</f>
        <v>#N/A</v>
      </c>
      <c r="G282" s="41" t="e">
        <f>(1*10^7)/Table4[[#This Row],[cm-1]]</f>
        <v>#DIV/0!</v>
      </c>
      <c r="I282" s="41" t="e">
        <f>(1*10^7)/Table4[[#This Row],[cm-2]]</f>
        <v>#DIV/0!</v>
      </c>
      <c r="K282" s="41" t="e">
        <f>(1*10^7)/Table4[[#This Row],[cm-3]]</f>
        <v>#DIV/0!</v>
      </c>
      <c r="R282" s="41" t="e">
        <f>(1*10^7)/Table4[[#This Row],[nm2]]</f>
        <v>#DIV/0!</v>
      </c>
      <c r="T282" s="41" t="e">
        <f>(1*10^7)/Table4[[#This Row],[nm12]]</f>
        <v>#DIV/0!</v>
      </c>
      <c r="Z282" s="28"/>
      <c r="AA282" s="28"/>
      <c r="AB282" s="28" t="e">
        <f>(1/Table4[[#This Row],[nm5]])*10^7</f>
        <v>#DIV/0!</v>
      </c>
      <c r="AC282" s="28"/>
      <c r="AD282" s="28" t="e">
        <f>(1/Table4[[#This Row],[nm8]])*10^7</f>
        <v>#DIV/0!</v>
      </c>
      <c r="AE282" s="28"/>
      <c r="AF282" s="28" t="e">
        <f>(1/Table4[[#This Row],[nm9]])*10^7</f>
        <v>#DIV/0!</v>
      </c>
      <c r="AG282" s="28"/>
      <c r="AH282" s="28"/>
      <c r="AI282" s="28" t="e">
        <f>(1/Table4[[#This Row],[nm4]])*10^7</f>
        <v>#DIV/0!</v>
      </c>
      <c r="AJ282" s="28"/>
      <c r="AK282" s="28" t="e">
        <f>(1/Table4[[#This Row],[nm14]])*10^7</f>
        <v>#DIV/0!</v>
      </c>
      <c r="AL282" s="28"/>
      <c r="AM282" s="28"/>
      <c r="AN282" s="28" t="e">
        <f>(1/Table4[[#This Row],[nm28]])*10^7</f>
        <v>#DIV/0!</v>
      </c>
      <c r="AO282" s="28"/>
      <c r="AP282" s="28" t="e">
        <f>(1/Table4[[#This Row],[nm10]])*10^7</f>
        <v>#DIV/0!</v>
      </c>
      <c r="AQ282" s="28"/>
      <c r="AR282" s="28" t="e">
        <f>(1/Table4[[#This Row],[nm11]])*10^7</f>
        <v>#DIV/0!</v>
      </c>
      <c r="AS282" s="28"/>
      <c r="AT282" s="28">
        <f>Table4[[#This Row],[Φ]]*100</f>
        <v>0</v>
      </c>
      <c r="AU282" s="28"/>
      <c r="AV282" s="28"/>
    </row>
    <row r="283" spans="3:48" x14ac:dyDescent="0.3">
      <c r="C283" s="27" t="e">
        <f>VLOOKUP(Table4[[#This Row],[Marker name]],BaseInfos_Table[#All],6,FALSE)</f>
        <v>#N/A</v>
      </c>
      <c r="G283" s="41" t="e">
        <f>(1*10^7)/Table4[[#This Row],[cm-1]]</f>
        <v>#DIV/0!</v>
      </c>
      <c r="I283" s="41" t="e">
        <f>(1*10^7)/Table4[[#This Row],[cm-2]]</f>
        <v>#DIV/0!</v>
      </c>
      <c r="K283" s="41" t="e">
        <f>(1*10^7)/Table4[[#This Row],[cm-3]]</f>
        <v>#DIV/0!</v>
      </c>
      <c r="R283" s="41" t="e">
        <f>(1*10^7)/Table4[[#This Row],[nm2]]</f>
        <v>#DIV/0!</v>
      </c>
      <c r="T283" s="41" t="e">
        <f>(1*10^7)/Table4[[#This Row],[nm12]]</f>
        <v>#DIV/0!</v>
      </c>
      <c r="Z283" s="28"/>
      <c r="AA283" s="28"/>
      <c r="AB283" s="28" t="e">
        <f>(1/Table4[[#This Row],[nm5]])*10^7</f>
        <v>#DIV/0!</v>
      </c>
      <c r="AC283" s="28"/>
      <c r="AD283" s="28" t="e">
        <f>(1/Table4[[#This Row],[nm8]])*10^7</f>
        <v>#DIV/0!</v>
      </c>
      <c r="AE283" s="28"/>
      <c r="AF283" s="28" t="e">
        <f>(1/Table4[[#This Row],[nm9]])*10^7</f>
        <v>#DIV/0!</v>
      </c>
      <c r="AG283" s="28"/>
      <c r="AH283" s="28"/>
      <c r="AI283" s="28" t="e">
        <f>(1/Table4[[#This Row],[nm4]])*10^7</f>
        <v>#DIV/0!</v>
      </c>
      <c r="AJ283" s="28"/>
      <c r="AK283" s="28" t="e">
        <f>(1/Table4[[#This Row],[nm14]])*10^7</f>
        <v>#DIV/0!</v>
      </c>
      <c r="AL283" s="28"/>
      <c r="AM283" s="28"/>
      <c r="AN283" s="28" t="e">
        <f>(1/Table4[[#This Row],[nm28]])*10^7</f>
        <v>#DIV/0!</v>
      </c>
      <c r="AO283" s="28"/>
      <c r="AP283" s="28" t="e">
        <f>(1/Table4[[#This Row],[nm10]])*10^7</f>
        <v>#DIV/0!</v>
      </c>
      <c r="AQ283" s="28"/>
      <c r="AR283" s="28" t="e">
        <f>(1/Table4[[#This Row],[nm11]])*10^7</f>
        <v>#DIV/0!</v>
      </c>
      <c r="AS283" s="28"/>
      <c r="AT283" s="28">
        <f>Table4[[#This Row],[Φ]]*100</f>
        <v>0</v>
      </c>
      <c r="AU283" s="28"/>
      <c r="AV283" s="28"/>
    </row>
    <row r="284" spans="3:48" x14ac:dyDescent="0.3">
      <c r="C284" s="27" t="e">
        <f>VLOOKUP(Table4[[#This Row],[Marker name]],BaseInfos_Table[#All],6,FALSE)</f>
        <v>#N/A</v>
      </c>
      <c r="G284" s="41" t="e">
        <f>(1*10^7)/Table4[[#This Row],[cm-1]]</f>
        <v>#DIV/0!</v>
      </c>
      <c r="I284" s="41" t="e">
        <f>(1*10^7)/Table4[[#This Row],[cm-2]]</f>
        <v>#DIV/0!</v>
      </c>
      <c r="K284" s="41" t="e">
        <f>(1*10^7)/Table4[[#This Row],[cm-3]]</f>
        <v>#DIV/0!</v>
      </c>
      <c r="R284" s="41" t="e">
        <f>(1*10^7)/Table4[[#This Row],[nm2]]</f>
        <v>#DIV/0!</v>
      </c>
      <c r="T284" s="41" t="e">
        <f>(1*10^7)/Table4[[#This Row],[nm12]]</f>
        <v>#DIV/0!</v>
      </c>
      <c r="Z284" s="28"/>
      <c r="AA284" s="28"/>
      <c r="AB284" s="28" t="e">
        <f>(1/Table4[[#This Row],[nm5]])*10^7</f>
        <v>#DIV/0!</v>
      </c>
      <c r="AC284" s="28"/>
      <c r="AD284" s="28" t="e">
        <f>(1/Table4[[#This Row],[nm8]])*10^7</f>
        <v>#DIV/0!</v>
      </c>
      <c r="AE284" s="28"/>
      <c r="AF284" s="28" t="e">
        <f>(1/Table4[[#This Row],[nm9]])*10^7</f>
        <v>#DIV/0!</v>
      </c>
      <c r="AG284" s="28"/>
      <c r="AH284" s="28"/>
      <c r="AI284" s="28" t="e">
        <f>(1/Table4[[#This Row],[nm4]])*10^7</f>
        <v>#DIV/0!</v>
      </c>
      <c r="AJ284" s="28"/>
      <c r="AK284" s="28" t="e">
        <f>(1/Table4[[#This Row],[nm14]])*10^7</f>
        <v>#DIV/0!</v>
      </c>
      <c r="AL284" s="28"/>
      <c r="AM284" s="28"/>
      <c r="AN284" s="28" t="e">
        <f>(1/Table4[[#This Row],[nm28]])*10^7</f>
        <v>#DIV/0!</v>
      </c>
      <c r="AO284" s="28"/>
      <c r="AP284" s="28" t="e">
        <f>(1/Table4[[#This Row],[nm10]])*10^7</f>
        <v>#DIV/0!</v>
      </c>
      <c r="AQ284" s="28"/>
      <c r="AR284" s="28" t="e">
        <f>(1/Table4[[#This Row],[nm11]])*10^7</f>
        <v>#DIV/0!</v>
      </c>
      <c r="AS284" s="28"/>
      <c r="AT284" s="28">
        <f>Table4[[#This Row],[Φ]]*100</f>
        <v>0</v>
      </c>
      <c r="AU284" s="28"/>
      <c r="AV284" s="28"/>
    </row>
    <row r="285" spans="3:48" x14ac:dyDescent="0.3">
      <c r="C285" s="27" t="e">
        <f>VLOOKUP(Table4[[#This Row],[Marker name]],BaseInfos_Table[#All],6,FALSE)</f>
        <v>#N/A</v>
      </c>
      <c r="G285" s="41" t="e">
        <f>(1*10^7)/Table4[[#This Row],[cm-1]]</f>
        <v>#DIV/0!</v>
      </c>
      <c r="I285" s="41" t="e">
        <f>(1*10^7)/Table4[[#This Row],[cm-2]]</f>
        <v>#DIV/0!</v>
      </c>
      <c r="K285" s="41" t="e">
        <f>(1*10^7)/Table4[[#This Row],[cm-3]]</f>
        <v>#DIV/0!</v>
      </c>
      <c r="R285" s="41" t="e">
        <f>(1*10^7)/Table4[[#This Row],[nm2]]</f>
        <v>#DIV/0!</v>
      </c>
      <c r="T285" s="41" t="e">
        <f>(1*10^7)/Table4[[#This Row],[nm12]]</f>
        <v>#DIV/0!</v>
      </c>
      <c r="Z285" s="28"/>
      <c r="AA285" s="28"/>
      <c r="AB285" s="28" t="e">
        <f>(1/Table4[[#This Row],[nm5]])*10^7</f>
        <v>#DIV/0!</v>
      </c>
      <c r="AC285" s="28"/>
      <c r="AD285" s="28" t="e">
        <f>(1/Table4[[#This Row],[nm8]])*10^7</f>
        <v>#DIV/0!</v>
      </c>
      <c r="AE285" s="28"/>
      <c r="AF285" s="28" t="e">
        <f>(1/Table4[[#This Row],[nm9]])*10^7</f>
        <v>#DIV/0!</v>
      </c>
      <c r="AG285" s="28"/>
      <c r="AH285" s="28"/>
      <c r="AI285" s="28" t="e">
        <f>(1/Table4[[#This Row],[nm4]])*10^7</f>
        <v>#DIV/0!</v>
      </c>
      <c r="AJ285" s="28"/>
      <c r="AK285" s="28" t="e">
        <f>(1/Table4[[#This Row],[nm14]])*10^7</f>
        <v>#DIV/0!</v>
      </c>
      <c r="AL285" s="28"/>
      <c r="AM285" s="28"/>
      <c r="AN285" s="28" t="e">
        <f>(1/Table4[[#This Row],[nm28]])*10^7</f>
        <v>#DIV/0!</v>
      </c>
      <c r="AO285" s="28"/>
      <c r="AP285" s="28" t="e">
        <f>(1/Table4[[#This Row],[nm10]])*10^7</f>
        <v>#DIV/0!</v>
      </c>
      <c r="AQ285" s="28"/>
      <c r="AR285" s="28" t="e">
        <f>(1/Table4[[#This Row],[nm11]])*10^7</f>
        <v>#DIV/0!</v>
      </c>
      <c r="AS285" s="28"/>
      <c r="AT285" s="28">
        <f>Table4[[#This Row],[Φ]]*100</f>
        <v>0</v>
      </c>
      <c r="AU285" s="28"/>
      <c r="AV285" s="28"/>
    </row>
    <row r="286" spans="3:48" x14ac:dyDescent="0.3">
      <c r="C286" s="27" t="e">
        <f>VLOOKUP(Table4[[#This Row],[Marker name]],BaseInfos_Table[#All],6,FALSE)</f>
        <v>#N/A</v>
      </c>
      <c r="G286" s="41" t="e">
        <f>(1*10^7)/Table4[[#This Row],[cm-1]]</f>
        <v>#DIV/0!</v>
      </c>
      <c r="I286" s="41" t="e">
        <f>(1*10^7)/Table4[[#This Row],[cm-2]]</f>
        <v>#DIV/0!</v>
      </c>
      <c r="K286" s="41" t="e">
        <f>(1*10^7)/Table4[[#This Row],[cm-3]]</f>
        <v>#DIV/0!</v>
      </c>
      <c r="R286" s="41" t="e">
        <f>(1*10^7)/Table4[[#This Row],[nm2]]</f>
        <v>#DIV/0!</v>
      </c>
      <c r="T286" s="41" t="e">
        <f>(1*10^7)/Table4[[#This Row],[nm12]]</f>
        <v>#DIV/0!</v>
      </c>
      <c r="Z286" s="28"/>
      <c r="AA286" s="28"/>
      <c r="AB286" s="28" t="e">
        <f>(1/Table4[[#This Row],[nm5]])*10^7</f>
        <v>#DIV/0!</v>
      </c>
      <c r="AC286" s="28"/>
      <c r="AD286" s="28" t="e">
        <f>(1/Table4[[#This Row],[nm8]])*10^7</f>
        <v>#DIV/0!</v>
      </c>
      <c r="AE286" s="28"/>
      <c r="AF286" s="28" t="e">
        <f>(1/Table4[[#This Row],[nm9]])*10^7</f>
        <v>#DIV/0!</v>
      </c>
      <c r="AG286" s="28"/>
      <c r="AH286" s="28"/>
      <c r="AI286" s="28" t="e">
        <f>(1/Table4[[#This Row],[nm4]])*10^7</f>
        <v>#DIV/0!</v>
      </c>
      <c r="AJ286" s="28"/>
      <c r="AK286" s="28" t="e">
        <f>(1/Table4[[#This Row],[nm14]])*10^7</f>
        <v>#DIV/0!</v>
      </c>
      <c r="AL286" s="28"/>
      <c r="AM286" s="28"/>
      <c r="AN286" s="28" t="e">
        <f>(1/Table4[[#This Row],[nm28]])*10^7</f>
        <v>#DIV/0!</v>
      </c>
      <c r="AO286" s="28"/>
      <c r="AP286" s="28" t="e">
        <f>(1/Table4[[#This Row],[nm10]])*10^7</f>
        <v>#DIV/0!</v>
      </c>
      <c r="AQ286" s="28"/>
      <c r="AR286" s="28" t="e">
        <f>(1/Table4[[#This Row],[nm11]])*10^7</f>
        <v>#DIV/0!</v>
      </c>
      <c r="AS286" s="28"/>
      <c r="AT286" s="28">
        <f>Table4[[#This Row],[Φ]]*100</f>
        <v>0</v>
      </c>
      <c r="AU286" s="28"/>
      <c r="AV286" s="28"/>
    </row>
    <row r="287" spans="3:48" x14ac:dyDescent="0.3">
      <c r="C287" s="27" t="e">
        <f>VLOOKUP(Table4[[#This Row],[Marker name]],BaseInfos_Table[#All],6,FALSE)</f>
        <v>#N/A</v>
      </c>
      <c r="G287" s="41" t="e">
        <f>(1*10^7)/Table4[[#This Row],[cm-1]]</f>
        <v>#DIV/0!</v>
      </c>
      <c r="I287" s="41" t="e">
        <f>(1*10^7)/Table4[[#This Row],[cm-2]]</f>
        <v>#DIV/0!</v>
      </c>
      <c r="K287" s="41" t="e">
        <f>(1*10^7)/Table4[[#This Row],[cm-3]]</f>
        <v>#DIV/0!</v>
      </c>
      <c r="R287" s="41" t="e">
        <f>(1*10^7)/Table4[[#This Row],[nm2]]</f>
        <v>#DIV/0!</v>
      </c>
      <c r="T287" s="41" t="e">
        <f>(1*10^7)/Table4[[#This Row],[nm12]]</f>
        <v>#DIV/0!</v>
      </c>
      <c r="Z287" s="28"/>
      <c r="AA287" s="28"/>
      <c r="AB287" s="28" t="e">
        <f>(1/Table4[[#This Row],[nm5]])*10^7</f>
        <v>#DIV/0!</v>
      </c>
      <c r="AC287" s="28"/>
      <c r="AD287" s="28" t="e">
        <f>(1/Table4[[#This Row],[nm8]])*10^7</f>
        <v>#DIV/0!</v>
      </c>
      <c r="AE287" s="28"/>
      <c r="AF287" s="28" t="e">
        <f>(1/Table4[[#This Row],[nm9]])*10^7</f>
        <v>#DIV/0!</v>
      </c>
      <c r="AG287" s="28"/>
      <c r="AH287" s="28"/>
      <c r="AI287" s="28" t="e">
        <f>(1/Table4[[#This Row],[nm4]])*10^7</f>
        <v>#DIV/0!</v>
      </c>
      <c r="AJ287" s="28"/>
      <c r="AK287" s="28" t="e">
        <f>(1/Table4[[#This Row],[nm14]])*10^7</f>
        <v>#DIV/0!</v>
      </c>
      <c r="AL287" s="28"/>
      <c r="AM287" s="28"/>
      <c r="AN287" s="28" t="e">
        <f>(1/Table4[[#This Row],[nm28]])*10^7</f>
        <v>#DIV/0!</v>
      </c>
      <c r="AO287" s="28"/>
      <c r="AP287" s="28" t="e">
        <f>(1/Table4[[#This Row],[nm10]])*10^7</f>
        <v>#DIV/0!</v>
      </c>
      <c r="AQ287" s="28"/>
      <c r="AR287" s="28" t="e">
        <f>(1/Table4[[#This Row],[nm11]])*10^7</f>
        <v>#DIV/0!</v>
      </c>
      <c r="AS287" s="28"/>
      <c r="AT287" s="28">
        <f>Table4[[#This Row],[Φ]]*100</f>
        <v>0</v>
      </c>
      <c r="AU287" s="28"/>
      <c r="AV287" s="28"/>
    </row>
    <row r="288" spans="3:48" x14ac:dyDescent="0.3">
      <c r="C288" s="27" t="e">
        <f>VLOOKUP(Table4[[#This Row],[Marker name]],BaseInfos_Table[#All],6,FALSE)</f>
        <v>#N/A</v>
      </c>
      <c r="G288" s="41" t="e">
        <f>(1*10^7)/Table4[[#This Row],[cm-1]]</f>
        <v>#DIV/0!</v>
      </c>
      <c r="I288" s="41" t="e">
        <f>(1*10^7)/Table4[[#This Row],[cm-2]]</f>
        <v>#DIV/0!</v>
      </c>
      <c r="K288" s="41" t="e">
        <f>(1*10^7)/Table4[[#This Row],[cm-3]]</f>
        <v>#DIV/0!</v>
      </c>
      <c r="R288" s="41" t="e">
        <f>(1*10^7)/Table4[[#This Row],[nm2]]</f>
        <v>#DIV/0!</v>
      </c>
      <c r="T288" s="41" t="e">
        <f>(1*10^7)/Table4[[#This Row],[nm12]]</f>
        <v>#DIV/0!</v>
      </c>
      <c r="Z288" s="28"/>
      <c r="AA288" s="28"/>
      <c r="AB288" s="28" t="e">
        <f>(1/Table4[[#This Row],[nm5]])*10^7</f>
        <v>#DIV/0!</v>
      </c>
      <c r="AC288" s="28"/>
      <c r="AD288" s="28" t="e">
        <f>(1/Table4[[#This Row],[nm8]])*10^7</f>
        <v>#DIV/0!</v>
      </c>
      <c r="AE288" s="28"/>
      <c r="AF288" s="28" t="e">
        <f>(1/Table4[[#This Row],[nm9]])*10^7</f>
        <v>#DIV/0!</v>
      </c>
      <c r="AG288" s="28"/>
      <c r="AH288" s="28"/>
      <c r="AI288" s="28" t="e">
        <f>(1/Table4[[#This Row],[nm4]])*10^7</f>
        <v>#DIV/0!</v>
      </c>
      <c r="AJ288" s="28"/>
      <c r="AK288" s="28" t="e">
        <f>(1/Table4[[#This Row],[nm14]])*10^7</f>
        <v>#DIV/0!</v>
      </c>
      <c r="AL288" s="28"/>
      <c r="AM288" s="28"/>
      <c r="AN288" s="28" t="e">
        <f>(1/Table4[[#This Row],[nm28]])*10^7</f>
        <v>#DIV/0!</v>
      </c>
      <c r="AO288" s="28"/>
      <c r="AP288" s="28" t="e">
        <f>(1/Table4[[#This Row],[nm10]])*10^7</f>
        <v>#DIV/0!</v>
      </c>
      <c r="AQ288" s="28"/>
      <c r="AR288" s="28" t="e">
        <f>(1/Table4[[#This Row],[nm11]])*10^7</f>
        <v>#DIV/0!</v>
      </c>
      <c r="AS288" s="28"/>
      <c r="AT288" s="28">
        <f>Table4[[#This Row],[Φ]]*100</f>
        <v>0</v>
      </c>
      <c r="AU288" s="28"/>
      <c r="AV288" s="28"/>
    </row>
    <row r="289" spans="3:48" x14ac:dyDescent="0.3">
      <c r="C289" s="27" t="e">
        <f>VLOOKUP(Table4[[#This Row],[Marker name]],BaseInfos_Table[#All],6,FALSE)</f>
        <v>#N/A</v>
      </c>
      <c r="G289" s="41" t="e">
        <f>(1*10^7)/Table4[[#This Row],[cm-1]]</f>
        <v>#DIV/0!</v>
      </c>
      <c r="I289" s="41" t="e">
        <f>(1*10^7)/Table4[[#This Row],[cm-2]]</f>
        <v>#DIV/0!</v>
      </c>
      <c r="K289" s="41" t="e">
        <f>(1*10^7)/Table4[[#This Row],[cm-3]]</f>
        <v>#DIV/0!</v>
      </c>
      <c r="R289" s="41" t="e">
        <f>(1*10^7)/Table4[[#This Row],[nm2]]</f>
        <v>#DIV/0!</v>
      </c>
      <c r="T289" s="41" t="e">
        <f>(1*10^7)/Table4[[#This Row],[nm12]]</f>
        <v>#DIV/0!</v>
      </c>
      <c r="Z289" s="28"/>
      <c r="AA289" s="28"/>
      <c r="AB289" s="28" t="e">
        <f>(1/Table4[[#This Row],[nm5]])*10^7</f>
        <v>#DIV/0!</v>
      </c>
      <c r="AC289" s="28"/>
      <c r="AD289" s="28" t="e">
        <f>(1/Table4[[#This Row],[nm8]])*10^7</f>
        <v>#DIV/0!</v>
      </c>
      <c r="AE289" s="28"/>
      <c r="AF289" s="28" t="e">
        <f>(1/Table4[[#This Row],[nm9]])*10^7</f>
        <v>#DIV/0!</v>
      </c>
      <c r="AG289" s="28"/>
      <c r="AH289" s="28"/>
      <c r="AI289" s="28" t="e">
        <f>(1/Table4[[#This Row],[nm4]])*10^7</f>
        <v>#DIV/0!</v>
      </c>
      <c r="AJ289" s="28"/>
      <c r="AK289" s="28" t="e">
        <f>(1/Table4[[#This Row],[nm14]])*10^7</f>
        <v>#DIV/0!</v>
      </c>
      <c r="AL289" s="28"/>
      <c r="AM289" s="28"/>
      <c r="AN289" s="28" t="e">
        <f>(1/Table4[[#This Row],[nm28]])*10^7</f>
        <v>#DIV/0!</v>
      </c>
      <c r="AO289" s="28"/>
      <c r="AP289" s="28" t="e">
        <f>(1/Table4[[#This Row],[nm10]])*10^7</f>
        <v>#DIV/0!</v>
      </c>
      <c r="AQ289" s="28"/>
      <c r="AR289" s="28" t="e">
        <f>(1/Table4[[#This Row],[nm11]])*10^7</f>
        <v>#DIV/0!</v>
      </c>
      <c r="AS289" s="28"/>
      <c r="AT289" s="28">
        <f>Table4[[#This Row],[Φ]]*100</f>
        <v>0</v>
      </c>
      <c r="AU289" s="28"/>
      <c r="AV289" s="28"/>
    </row>
    <row r="290" spans="3:48" x14ac:dyDescent="0.3">
      <c r="C290" s="27" t="e">
        <f>VLOOKUP(Table4[[#This Row],[Marker name]],BaseInfos_Table[#All],6,FALSE)</f>
        <v>#N/A</v>
      </c>
      <c r="G290" s="41" t="e">
        <f>(1*10^7)/Table4[[#This Row],[cm-1]]</f>
        <v>#DIV/0!</v>
      </c>
      <c r="I290" s="41" t="e">
        <f>(1*10^7)/Table4[[#This Row],[cm-2]]</f>
        <v>#DIV/0!</v>
      </c>
      <c r="K290" s="41" t="e">
        <f>(1*10^7)/Table4[[#This Row],[cm-3]]</f>
        <v>#DIV/0!</v>
      </c>
      <c r="R290" s="41" t="e">
        <f>(1*10^7)/Table4[[#This Row],[nm2]]</f>
        <v>#DIV/0!</v>
      </c>
      <c r="T290" s="41" t="e">
        <f>(1*10^7)/Table4[[#This Row],[nm12]]</f>
        <v>#DIV/0!</v>
      </c>
      <c r="Z290" s="28"/>
      <c r="AA290" s="28"/>
      <c r="AB290" s="28" t="e">
        <f>(1/Table4[[#This Row],[nm5]])*10^7</f>
        <v>#DIV/0!</v>
      </c>
      <c r="AC290" s="28"/>
      <c r="AD290" s="28" t="e">
        <f>(1/Table4[[#This Row],[nm8]])*10^7</f>
        <v>#DIV/0!</v>
      </c>
      <c r="AE290" s="28"/>
      <c r="AF290" s="28" t="e">
        <f>(1/Table4[[#This Row],[nm9]])*10^7</f>
        <v>#DIV/0!</v>
      </c>
      <c r="AG290" s="28"/>
      <c r="AH290" s="28"/>
      <c r="AI290" s="28" t="e">
        <f>(1/Table4[[#This Row],[nm4]])*10^7</f>
        <v>#DIV/0!</v>
      </c>
      <c r="AJ290" s="28"/>
      <c r="AK290" s="28" t="e">
        <f>(1/Table4[[#This Row],[nm14]])*10^7</f>
        <v>#DIV/0!</v>
      </c>
      <c r="AL290" s="28"/>
      <c r="AM290" s="28"/>
      <c r="AN290" s="28" t="e">
        <f>(1/Table4[[#This Row],[nm28]])*10^7</f>
        <v>#DIV/0!</v>
      </c>
      <c r="AO290" s="28"/>
      <c r="AP290" s="28" t="e">
        <f>(1/Table4[[#This Row],[nm10]])*10^7</f>
        <v>#DIV/0!</v>
      </c>
      <c r="AQ290" s="28"/>
      <c r="AR290" s="28" t="e">
        <f>(1/Table4[[#This Row],[nm11]])*10^7</f>
        <v>#DIV/0!</v>
      </c>
      <c r="AS290" s="28"/>
      <c r="AT290" s="28">
        <f>Table4[[#This Row],[Φ]]*100</f>
        <v>0</v>
      </c>
      <c r="AU290" s="28"/>
      <c r="AV290" s="28"/>
    </row>
    <row r="291" spans="3:48" x14ac:dyDescent="0.3">
      <c r="C291" s="27" t="e">
        <f>VLOOKUP(Table4[[#This Row],[Marker name]],BaseInfos_Table[#All],6,FALSE)</f>
        <v>#N/A</v>
      </c>
      <c r="G291" s="41" t="e">
        <f>(1*10^7)/Table4[[#This Row],[cm-1]]</f>
        <v>#DIV/0!</v>
      </c>
      <c r="I291" s="41" t="e">
        <f>(1*10^7)/Table4[[#This Row],[cm-2]]</f>
        <v>#DIV/0!</v>
      </c>
      <c r="K291" s="41" t="e">
        <f>(1*10^7)/Table4[[#This Row],[cm-3]]</f>
        <v>#DIV/0!</v>
      </c>
      <c r="R291" s="41" t="e">
        <f>(1*10^7)/Table4[[#This Row],[nm2]]</f>
        <v>#DIV/0!</v>
      </c>
      <c r="T291" s="41" t="e">
        <f>(1*10^7)/Table4[[#This Row],[nm12]]</f>
        <v>#DIV/0!</v>
      </c>
      <c r="Z291" s="28"/>
      <c r="AA291" s="28"/>
      <c r="AB291" s="28" t="e">
        <f>(1/Table4[[#This Row],[nm5]])*10^7</f>
        <v>#DIV/0!</v>
      </c>
      <c r="AC291" s="28"/>
      <c r="AD291" s="28" t="e">
        <f>(1/Table4[[#This Row],[nm8]])*10^7</f>
        <v>#DIV/0!</v>
      </c>
      <c r="AE291" s="28"/>
      <c r="AF291" s="28" t="e">
        <f>(1/Table4[[#This Row],[nm9]])*10^7</f>
        <v>#DIV/0!</v>
      </c>
      <c r="AG291" s="28"/>
      <c r="AH291" s="28"/>
      <c r="AI291" s="28" t="e">
        <f>(1/Table4[[#This Row],[nm4]])*10^7</f>
        <v>#DIV/0!</v>
      </c>
      <c r="AJ291" s="28"/>
      <c r="AK291" s="28" t="e">
        <f>(1/Table4[[#This Row],[nm14]])*10^7</f>
        <v>#DIV/0!</v>
      </c>
      <c r="AL291" s="28"/>
      <c r="AM291" s="28"/>
      <c r="AN291" s="28" t="e">
        <f>(1/Table4[[#This Row],[nm28]])*10^7</f>
        <v>#DIV/0!</v>
      </c>
      <c r="AO291" s="28"/>
      <c r="AP291" s="28" t="e">
        <f>(1/Table4[[#This Row],[nm10]])*10^7</f>
        <v>#DIV/0!</v>
      </c>
      <c r="AQ291" s="28"/>
      <c r="AR291" s="28" t="e">
        <f>(1/Table4[[#This Row],[nm11]])*10^7</f>
        <v>#DIV/0!</v>
      </c>
      <c r="AS291" s="28"/>
      <c r="AT291" s="28">
        <f>Table4[[#This Row],[Φ]]*100</f>
        <v>0</v>
      </c>
      <c r="AU291" s="28"/>
      <c r="AV291" s="28"/>
    </row>
    <row r="292" spans="3:48" x14ac:dyDescent="0.3">
      <c r="C292" s="27" t="e">
        <f>VLOOKUP(Table4[[#This Row],[Marker name]],BaseInfos_Table[#All],6,FALSE)</f>
        <v>#N/A</v>
      </c>
      <c r="G292" s="41" t="e">
        <f>(1*10^7)/Table4[[#This Row],[cm-1]]</f>
        <v>#DIV/0!</v>
      </c>
      <c r="I292" s="41" t="e">
        <f>(1*10^7)/Table4[[#This Row],[cm-2]]</f>
        <v>#DIV/0!</v>
      </c>
      <c r="K292" s="41" t="e">
        <f>(1*10^7)/Table4[[#This Row],[cm-3]]</f>
        <v>#DIV/0!</v>
      </c>
      <c r="R292" s="41" t="e">
        <f>(1*10^7)/Table4[[#This Row],[nm2]]</f>
        <v>#DIV/0!</v>
      </c>
      <c r="T292" s="41" t="e">
        <f>(1*10^7)/Table4[[#This Row],[nm12]]</f>
        <v>#DIV/0!</v>
      </c>
      <c r="Z292" s="28"/>
      <c r="AA292" s="28"/>
      <c r="AB292" s="28" t="e">
        <f>(1/Table4[[#This Row],[nm5]])*10^7</f>
        <v>#DIV/0!</v>
      </c>
      <c r="AC292" s="28"/>
      <c r="AD292" s="28" t="e">
        <f>(1/Table4[[#This Row],[nm8]])*10^7</f>
        <v>#DIV/0!</v>
      </c>
      <c r="AE292" s="28"/>
      <c r="AF292" s="28" t="e">
        <f>(1/Table4[[#This Row],[nm9]])*10^7</f>
        <v>#DIV/0!</v>
      </c>
      <c r="AG292" s="28"/>
      <c r="AH292" s="28"/>
      <c r="AI292" s="28" t="e">
        <f>(1/Table4[[#This Row],[nm4]])*10^7</f>
        <v>#DIV/0!</v>
      </c>
      <c r="AJ292" s="28"/>
      <c r="AK292" s="28" t="e">
        <f>(1/Table4[[#This Row],[nm14]])*10^7</f>
        <v>#DIV/0!</v>
      </c>
      <c r="AL292" s="28"/>
      <c r="AM292" s="28"/>
      <c r="AN292" s="28" t="e">
        <f>(1/Table4[[#This Row],[nm28]])*10^7</f>
        <v>#DIV/0!</v>
      </c>
      <c r="AO292" s="28"/>
      <c r="AP292" s="28" t="e">
        <f>(1/Table4[[#This Row],[nm10]])*10^7</f>
        <v>#DIV/0!</v>
      </c>
      <c r="AQ292" s="28"/>
      <c r="AR292" s="28" t="e">
        <f>(1/Table4[[#This Row],[nm11]])*10^7</f>
        <v>#DIV/0!</v>
      </c>
      <c r="AS292" s="28"/>
      <c r="AT292" s="28">
        <f>Table4[[#This Row],[Φ]]*100</f>
        <v>0</v>
      </c>
      <c r="AU292" s="28"/>
      <c r="AV292" s="28"/>
    </row>
    <row r="293" spans="3:48" x14ac:dyDescent="0.3">
      <c r="C293" s="27" t="e">
        <f>VLOOKUP(Table4[[#This Row],[Marker name]],BaseInfos_Table[#All],6,FALSE)</f>
        <v>#N/A</v>
      </c>
      <c r="G293" s="41" t="e">
        <f>(1*10^7)/Table4[[#This Row],[cm-1]]</f>
        <v>#DIV/0!</v>
      </c>
      <c r="I293" s="41" t="e">
        <f>(1*10^7)/Table4[[#This Row],[cm-2]]</f>
        <v>#DIV/0!</v>
      </c>
      <c r="K293" s="41" t="e">
        <f>(1*10^7)/Table4[[#This Row],[cm-3]]</f>
        <v>#DIV/0!</v>
      </c>
      <c r="R293" s="41" t="e">
        <f>(1*10^7)/Table4[[#This Row],[nm2]]</f>
        <v>#DIV/0!</v>
      </c>
      <c r="T293" s="41" t="e">
        <f>(1*10^7)/Table4[[#This Row],[nm12]]</f>
        <v>#DIV/0!</v>
      </c>
      <c r="Z293" s="28"/>
      <c r="AA293" s="28"/>
      <c r="AB293" s="28" t="e">
        <f>(1/Table4[[#This Row],[nm5]])*10^7</f>
        <v>#DIV/0!</v>
      </c>
      <c r="AC293" s="28"/>
      <c r="AD293" s="28" t="e">
        <f>(1/Table4[[#This Row],[nm8]])*10^7</f>
        <v>#DIV/0!</v>
      </c>
      <c r="AE293" s="28"/>
      <c r="AF293" s="28" t="e">
        <f>(1/Table4[[#This Row],[nm9]])*10^7</f>
        <v>#DIV/0!</v>
      </c>
      <c r="AG293" s="28"/>
      <c r="AH293" s="28"/>
      <c r="AI293" s="28" t="e">
        <f>(1/Table4[[#This Row],[nm4]])*10^7</f>
        <v>#DIV/0!</v>
      </c>
      <c r="AJ293" s="28"/>
      <c r="AK293" s="28" t="e">
        <f>(1/Table4[[#This Row],[nm14]])*10^7</f>
        <v>#DIV/0!</v>
      </c>
      <c r="AL293" s="28"/>
      <c r="AM293" s="28"/>
      <c r="AN293" s="28" t="e">
        <f>(1/Table4[[#This Row],[nm28]])*10^7</f>
        <v>#DIV/0!</v>
      </c>
      <c r="AO293" s="28"/>
      <c r="AP293" s="28" t="e">
        <f>(1/Table4[[#This Row],[nm10]])*10^7</f>
        <v>#DIV/0!</v>
      </c>
      <c r="AQ293" s="28"/>
      <c r="AR293" s="28" t="e">
        <f>(1/Table4[[#This Row],[nm11]])*10^7</f>
        <v>#DIV/0!</v>
      </c>
      <c r="AS293" s="28"/>
      <c r="AT293" s="28">
        <f>Table4[[#This Row],[Φ]]*100</f>
        <v>0</v>
      </c>
      <c r="AU293" s="28"/>
      <c r="AV293" s="28"/>
    </row>
    <row r="294" spans="3:48" x14ac:dyDescent="0.3">
      <c r="C294" s="27" t="e">
        <f>VLOOKUP(Table4[[#This Row],[Marker name]],BaseInfos_Table[#All],6,FALSE)</f>
        <v>#N/A</v>
      </c>
      <c r="G294" s="41" t="e">
        <f>(1*10^7)/Table4[[#This Row],[cm-1]]</f>
        <v>#DIV/0!</v>
      </c>
      <c r="I294" s="41" t="e">
        <f>(1*10^7)/Table4[[#This Row],[cm-2]]</f>
        <v>#DIV/0!</v>
      </c>
      <c r="K294" s="41" t="e">
        <f>(1*10^7)/Table4[[#This Row],[cm-3]]</f>
        <v>#DIV/0!</v>
      </c>
      <c r="R294" s="41" t="e">
        <f>(1*10^7)/Table4[[#This Row],[nm2]]</f>
        <v>#DIV/0!</v>
      </c>
      <c r="T294" s="41" t="e">
        <f>(1*10^7)/Table4[[#This Row],[nm12]]</f>
        <v>#DIV/0!</v>
      </c>
      <c r="Z294" s="28"/>
      <c r="AA294" s="28"/>
      <c r="AB294" s="28" t="e">
        <f>(1/Table4[[#This Row],[nm5]])*10^7</f>
        <v>#DIV/0!</v>
      </c>
      <c r="AC294" s="28"/>
      <c r="AD294" s="28" t="e">
        <f>(1/Table4[[#This Row],[nm8]])*10^7</f>
        <v>#DIV/0!</v>
      </c>
      <c r="AE294" s="28"/>
      <c r="AF294" s="28" t="e">
        <f>(1/Table4[[#This Row],[nm9]])*10^7</f>
        <v>#DIV/0!</v>
      </c>
      <c r="AG294" s="28"/>
      <c r="AH294" s="28"/>
      <c r="AI294" s="28" t="e">
        <f>(1/Table4[[#This Row],[nm4]])*10^7</f>
        <v>#DIV/0!</v>
      </c>
      <c r="AJ294" s="28"/>
      <c r="AK294" s="28" t="e">
        <f>(1/Table4[[#This Row],[nm14]])*10^7</f>
        <v>#DIV/0!</v>
      </c>
      <c r="AL294" s="28"/>
      <c r="AM294" s="28"/>
      <c r="AN294" s="28" t="e">
        <f>(1/Table4[[#This Row],[nm28]])*10^7</f>
        <v>#DIV/0!</v>
      </c>
      <c r="AO294" s="28"/>
      <c r="AP294" s="28" t="e">
        <f>(1/Table4[[#This Row],[nm10]])*10^7</f>
        <v>#DIV/0!</v>
      </c>
      <c r="AQ294" s="28"/>
      <c r="AR294" s="28" t="e">
        <f>(1/Table4[[#This Row],[nm11]])*10^7</f>
        <v>#DIV/0!</v>
      </c>
      <c r="AS294" s="28"/>
      <c r="AT294" s="28">
        <f>Table4[[#This Row],[Φ]]*100</f>
        <v>0</v>
      </c>
      <c r="AU294" s="28"/>
      <c r="AV294" s="28"/>
    </row>
    <row r="295" spans="3:48" x14ac:dyDescent="0.3">
      <c r="C295" s="27" t="e">
        <f>VLOOKUP(Table4[[#This Row],[Marker name]],BaseInfos_Table[#All],6,FALSE)</f>
        <v>#N/A</v>
      </c>
      <c r="G295" s="41" t="e">
        <f>(1*10^7)/Table4[[#This Row],[cm-1]]</f>
        <v>#DIV/0!</v>
      </c>
      <c r="I295" s="41" t="e">
        <f>(1*10^7)/Table4[[#This Row],[cm-2]]</f>
        <v>#DIV/0!</v>
      </c>
      <c r="K295" s="41" t="e">
        <f>(1*10^7)/Table4[[#This Row],[cm-3]]</f>
        <v>#DIV/0!</v>
      </c>
      <c r="R295" s="41" t="e">
        <f>(1*10^7)/Table4[[#This Row],[nm2]]</f>
        <v>#DIV/0!</v>
      </c>
      <c r="T295" s="41" t="e">
        <f>(1*10^7)/Table4[[#This Row],[nm12]]</f>
        <v>#DIV/0!</v>
      </c>
      <c r="Z295" s="28"/>
      <c r="AA295" s="28"/>
      <c r="AB295" s="28" t="e">
        <f>(1/Table4[[#This Row],[nm5]])*10^7</f>
        <v>#DIV/0!</v>
      </c>
      <c r="AC295" s="28"/>
      <c r="AD295" s="28" t="e">
        <f>(1/Table4[[#This Row],[nm8]])*10^7</f>
        <v>#DIV/0!</v>
      </c>
      <c r="AE295" s="28"/>
      <c r="AF295" s="28" t="e">
        <f>(1/Table4[[#This Row],[nm9]])*10^7</f>
        <v>#DIV/0!</v>
      </c>
      <c r="AG295" s="28"/>
      <c r="AH295" s="28"/>
      <c r="AI295" s="28" t="e">
        <f>(1/Table4[[#This Row],[nm4]])*10^7</f>
        <v>#DIV/0!</v>
      </c>
      <c r="AJ295" s="28"/>
      <c r="AK295" s="28" t="e">
        <f>(1/Table4[[#This Row],[nm14]])*10^7</f>
        <v>#DIV/0!</v>
      </c>
      <c r="AL295" s="28"/>
      <c r="AM295" s="28"/>
      <c r="AN295" s="28" t="e">
        <f>(1/Table4[[#This Row],[nm28]])*10^7</f>
        <v>#DIV/0!</v>
      </c>
      <c r="AO295" s="28"/>
      <c r="AP295" s="28" t="e">
        <f>(1/Table4[[#This Row],[nm10]])*10^7</f>
        <v>#DIV/0!</v>
      </c>
      <c r="AQ295" s="28"/>
      <c r="AR295" s="28" t="e">
        <f>(1/Table4[[#This Row],[nm11]])*10^7</f>
        <v>#DIV/0!</v>
      </c>
      <c r="AS295" s="28"/>
      <c r="AT295" s="28">
        <f>Table4[[#This Row],[Φ]]*100</f>
        <v>0</v>
      </c>
      <c r="AU295" s="28"/>
      <c r="AV295" s="28"/>
    </row>
    <row r="296" spans="3:48" x14ac:dyDescent="0.3">
      <c r="C296" s="27" t="e">
        <f>VLOOKUP(Table4[[#This Row],[Marker name]],BaseInfos_Table[#All],6,FALSE)</f>
        <v>#N/A</v>
      </c>
      <c r="G296" s="41" t="e">
        <f>(1*10^7)/Table4[[#This Row],[cm-1]]</f>
        <v>#DIV/0!</v>
      </c>
      <c r="I296" s="41" t="e">
        <f>(1*10^7)/Table4[[#This Row],[cm-2]]</f>
        <v>#DIV/0!</v>
      </c>
      <c r="K296" s="41" t="e">
        <f>(1*10^7)/Table4[[#This Row],[cm-3]]</f>
        <v>#DIV/0!</v>
      </c>
      <c r="R296" s="41" t="e">
        <f>(1*10^7)/Table4[[#This Row],[nm2]]</f>
        <v>#DIV/0!</v>
      </c>
      <c r="T296" s="41" t="e">
        <f>(1*10^7)/Table4[[#This Row],[nm12]]</f>
        <v>#DIV/0!</v>
      </c>
      <c r="Z296" s="28"/>
      <c r="AA296" s="28"/>
      <c r="AB296" s="28" t="e">
        <f>(1/Table4[[#This Row],[nm5]])*10^7</f>
        <v>#DIV/0!</v>
      </c>
      <c r="AC296" s="28"/>
      <c r="AD296" s="28" t="e">
        <f>(1/Table4[[#This Row],[nm8]])*10^7</f>
        <v>#DIV/0!</v>
      </c>
      <c r="AE296" s="28"/>
      <c r="AF296" s="28" t="e">
        <f>(1/Table4[[#This Row],[nm9]])*10^7</f>
        <v>#DIV/0!</v>
      </c>
      <c r="AG296" s="28"/>
      <c r="AH296" s="28"/>
      <c r="AI296" s="28" t="e">
        <f>(1/Table4[[#This Row],[nm4]])*10^7</f>
        <v>#DIV/0!</v>
      </c>
      <c r="AJ296" s="28"/>
      <c r="AK296" s="28" t="e">
        <f>(1/Table4[[#This Row],[nm14]])*10^7</f>
        <v>#DIV/0!</v>
      </c>
      <c r="AL296" s="28"/>
      <c r="AM296" s="28"/>
      <c r="AN296" s="28" t="e">
        <f>(1/Table4[[#This Row],[nm28]])*10^7</f>
        <v>#DIV/0!</v>
      </c>
      <c r="AO296" s="28"/>
      <c r="AP296" s="28" t="e">
        <f>(1/Table4[[#This Row],[nm10]])*10^7</f>
        <v>#DIV/0!</v>
      </c>
      <c r="AQ296" s="28"/>
      <c r="AR296" s="28" t="e">
        <f>(1/Table4[[#This Row],[nm11]])*10^7</f>
        <v>#DIV/0!</v>
      </c>
      <c r="AS296" s="28"/>
      <c r="AT296" s="28">
        <f>Table4[[#This Row],[Φ]]*100</f>
        <v>0</v>
      </c>
      <c r="AU296" s="28"/>
      <c r="AV296" s="28"/>
    </row>
    <row r="297" spans="3:48" x14ac:dyDescent="0.3">
      <c r="C297" s="27" t="e">
        <f>VLOOKUP(Table4[[#This Row],[Marker name]],BaseInfos_Table[#All],6,FALSE)</f>
        <v>#N/A</v>
      </c>
      <c r="G297" s="41" t="e">
        <f>(1*10^7)/Table4[[#This Row],[cm-1]]</f>
        <v>#DIV/0!</v>
      </c>
      <c r="I297" s="41" t="e">
        <f>(1*10^7)/Table4[[#This Row],[cm-2]]</f>
        <v>#DIV/0!</v>
      </c>
      <c r="K297" s="41" t="e">
        <f>(1*10^7)/Table4[[#This Row],[cm-3]]</f>
        <v>#DIV/0!</v>
      </c>
      <c r="R297" s="41" t="e">
        <f>(1*10^7)/Table4[[#This Row],[nm2]]</f>
        <v>#DIV/0!</v>
      </c>
      <c r="T297" s="41" t="e">
        <f>(1*10^7)/Table4[[#This Row],[nm12]]</f>
        <v>#DIV/0!</v>
      </c>
      <c r="Z297" s="28"/>
      <c r="AA297" s="28"/>
      <c r="AB297" s="28" t="e">
        <f>(1/Table4[[#This Row],[nm5]])*10^7</f>
        <v>#DIV/0!</v>
      </c>
      <c r="AC297" s="28"/>
      <c r="AD297" s="28" t="e">
        <f>(1/Table4[[#This Row],[nm8]])*10^7</f>
        <v>#DIV/0!</v>
      </c>
      <c r="AE297" s="28"/>
      <c r="AF297" s="28" t="e">
        <f>(1/Table4[[#This Row],[nm9]])*10^7</f>
        <v>#DIV/0!</v>
      </c>
      <c r="AG297" s="28"/>
      <c r="AH297" s="28"/>
      <c r="AI297" s="28" t="e">
        <f>(1/Table4[[#This Row],[nm4]])*10^7</f>
        <v>#DIV/0!</v>
      </c>
      <c r="AJ297" s="28"/>
      <c r="AK297" s="28" t="e">
        <f>(1/Table4[[#This Row],[nm14]])*10^7</f>
        <v>#DIV/0!</v>
      </c>
      <c r="AL297" s="28"/>
      <c r="AM297" s="28"/>
      <c r="AN297" s="28" t="e">
        <f>(1/Table4[[#This Row],[nm28]])*10^7</f>
        <v>#DIV/0!</v>
      </c>
      <c r="AO297" s="28"/>
      <c r="AP297" s="28" t="e">
        <f>(1/Table4[[#This Row],[nm10]])*10^7</f>
        <v>#DIV/0!</v>
      </c>
      <c r="AQ297" s="28"/>
      <c r="AR297" s="28" t="e">
        <f>(1/Table4[[#This Row],[nm11]])*10^7</f>
        <v>#DIV/0!</v>
      </c>
      <c r="AS297" s="28"/>
      <c r="AT297" s="28">
        <f>Table4[[#This Row],[Φ]]*100</f>
        <v>0</v>
      </c>
      <c r="AU297" s="28"/>
      <c r="AV297" s="28"/>
    </row>
    <row r="298" spans="3:48" x14ac:dyDescent="0.3">
      <c r="C298" s="27" t="e">
        <f>VLOOKUP(Table4[[#This Row],[Marker name]],BaseInfos_Table[#All],6,FALSE)</f>
        <v>#N/A</v>
      </c>
      <c r="G298" s="41" t="e">
        <f>(1*10^7)/Table4[[#This Row],[cm-1]]</f>
        <v>#DIV/0!</v>
      </c>
      <c r="I298" s="41" t="e">
        <f>(1*10^7)/Table4[[#This Row],[cm-2]]</f>
        <v>#DIV/0!</v>
      </c>
      <c r="K298" s="41" t="e">
        <f>(1*10^7)/Table4[[#This Row],[cm-3]]</f>
        <v>#DIV/0!</v>
      </c>
      <c r="R298" s="41" t="e">
        <f>(1*10^7)/Table4[[#This Row],[nm2]]</f>
        <v>#DIV/0!</v>
      </c>
      <c r="T298" s="41" t="e">
        <f>(1*10^7)/Table4[[#This Row],[nm12]]</f>
        <v>#DIV/0!</v>
      </c>
      <c r="Z298" s="28"/>
      <c r="AA298" s="28"/>
      <c r="AB298" s="28" t="e">
        <f>(1/Table4[[#This Row],[nm5]])*10^7</f>
        <v>#DIV/0!</v>
      </c>
      <c r="AC298" s="28"/>
      <c r="AD298" s="28" t="e">
        <f>(1/Table4[[#This Row],[nm8]])*10^7</f>
        <v>#DIV/0!</v>
      </c>
      <c r="AE298" s="28"/>
      <c r="AF298" s="28" t="e">
        <f>(1/Table4[[#This Row],[nm9]])*10^7</f>
        <v>#DIV/0!</v>
      </c>
      <c r="AG298" s="28"/>
      <c r="AH298" s="28"/>
      <c r="AI298" s="28" t="e">
        <f>(1/Table4[[#This Row],[nm4]])*10^7</f>
        <v>#DIV/0!</v>
      </c>
      <c r="AJ298" s="28"/>
      <c r="AK298" s="28" t="e">
        <f>(1/Table4[[#This Row],[nm14]])*10^7</f>
        <v>#DIV/0!</v>
      </c>
      <c r="AL298" s="28"/>
      <c r="AM298" s="28"/>
      <c r="AN298" s="28" t="e">
        <f>(1/Table4[[#This Row],[nm28]])*10^7</f>
        <v>#DIV/0!</v>
      </c>
      <c r="AO298" s="28"/>
      <c r="AP298" s="28" t="e">
        <f>(1/Table4[[#This Row],[nm10]])*10^7</f>
        <v>#DIV/0!</v>
      </c>
      <c r="AQ298" s="28"/>
      <c r="AR298" s="28" t="e">
        <f>(1/Table4[[#This Row],[nm11]])*10^7</f>
        <v>#DIV/0!</v>
      </c>
      <c r="AS298" s="28"/>
      <c r="AT298" s="28">
        <f>Table4[[#This Row],[Φ]]*100</f>
        <v>0</v>
      </c>
      <c r="AU298" s="28"/>
      <c r="AV298" s="28"/>
    </row>
    <row r="299" spans="3:48" x14ac:dyDescent="0.3">
      <c r="C299" s="27" t="e">
        <f>VLOOKUP(Table4[[#This Row],[Marker name]],BaseInfos_Table[#All],6,FALSE)</f>
        <v>#N/A</v>
      </c>
      <c r="G299" s="41" t="e">
        <f>(1*10^7)/Table4[[#This Row],[cm-1]]</f>
        <v>#DIV/0!</v>
      </c>
      <c r="I299" s="41" t="e">
        <f>(1*10^7)/Table4[[#This Row],[cm-2]]</f>
        <v>#DIV/0!</v>
      </c>
      <c r="K299" s="41" t="e">
        <f>(1*10^7)/Table4[[#This Row],[cm-3]]</f>
        <v>#DIV/0!</v>
      </c>
      <c r="R299" s="41" t="e">
        <f>(1*10^7)/Table4[[#This Row],[nm2]]</f>
        <v>#DIV/0!</v>
      </c>
      <c r="T299" s="41" t="e">
        <f>(1*10^7)/Table4[[#This Row],[nm12]]</f>
        <v>#DIV/0!</v>
      </c>
      <c r="Z299" s="28"/>
      <c r="AA299" s="28"/>
      <c r="AB299" s="28" t="e">
        <f>(1/Table4[[#This Row],[nm5]])*10^7</f>
        <v>#DIV/0!</v>
      </c>
      <c r="AC299" s="28"/>
      <c r="AD299" s="28" t="e">
        <f>(1/Table4[[#This Row],[nm8]])*10^7</f>
        <v>#DIV/0!</v>
      </c>
      <c r="AE299" s="28"/>
      <c r="AF299" s="28" t="e">
        <f>(1/Table4[[#This Row],[nm9]])*10^7</f>
        <v>#DIV/0!</v>
      </c>
      <c r="AG299" s="28"/>
      <c r="AH299" s="28"/>
      <c r="AI299" s="28" t="e">
        <f>(1/Table4[[#This Row],[nm4]])*10^7</f>
        <v>#DIV/0!</v>
      </c>
      <c r="AJ299" s="28"/>
      <c r="AK299" s="28" t="e">
        <f>(1/Table4[[#This Row],[nm14]])*10^7</f>
        <v>#DIV/0!</v>
      </c>
      <c r="AL299" s="28"/>
      <c r="AM299" s="28"/>
      <c r="AN299" s="28" t="e">
        <f>(1/Table4[[#This Row],[nm28]])*10^7</f>
        <v>#DIV/0!</v>
      </c>
      <c r="AO299" s="28"/>
      <c r="AP299" s="28" t="e">
        <f>(1/Table4[[#This Row],[nm10]])*10^7</f>
        <v>#DIV/0!</v>
      </c>
      <c r="AQ299" s="28"/>
      <c r="AR299" s="28" t="e">
        <f>(1/Table4[[#This Row],[nm11]])*10^7</f>
        <v>#DIV/0!</v>
      </c>
      <c r="AS299" s="28"/>
      <c r="AT299" s="28">
        <f>Table4[[#This Row],[Φ]]*100</f>
        <v>0</v>
      </c>
      <c r="AU299" s="28"/>
      <c r="AV299" s="28"/>
    </row>
    <row r="300" spans="3:48" x14ac:dyDescent="0.3">
      <c r="C300" s="27" t="e">
        <f>VLOOKUP(Table4[[#This Row],[Marker name]],BaseInfos_Table[#All],6,FALSE)</f>
        <v>#N/A</v>
      </c>
      <c r="G300" s="41" t="e">
        <f>(1*10^7)/Table4[[#This Row],[cm-1]]</f>
        <v>#DIV/0!</v>
      </c>
      <c r="I300" s="41" t="e">
        <f>(1*10^7)/Table4[[#This Row],[cm-2]]</f>
        <v>#DIV/0!</v>
      </c>
      <c r="K300" s="41" t="e">
        <f>(1*10^7)/Table4[[#This Row],[cm-3]]</f>
        <v>#DIV/0!</v>
      </c>
      <c r="R300" s="41" t="e">
        <f>(1*10^7)/Table4[[#This Row],[nm2]]</f>
        <v>#DIV/0!</v>
      </c>
      <c r="T300" s="41" t="e">
        <f>(1*10^7)/Table4[[#This Row],[nm12]]</f>
        <v>#DIV/0!</v>
      </c>
      <c r="Z300" s="28"/>
      <c r="AA300" s="28"/>
      <c r="AB300" s="28" t="e">
        <f>(1/Table4[[#This Row],[nm5]])*10^7</f>
        <v>#DIV/0!</v>
      </c>
      <c r="AC300" s="28"/>
      <c r="AD300" s="28" t="e">
        <f>(1/Table4[[#This Row],[nm8]])*10^7</f>
        <v>#DIV/0!</v>
      </c>
      <c r="AE300" s="28"/>
      <c r="AF300" s="28" t="e">
        <f>(1/Table4[[#This Row],[nm9]])*10^7</f>
        <v>#DIV/0!</v>
      </c>
      <c r="AG300" s="28"/>
      <c r="AH300" s="28"/>
      <c r="AI300" s="28" t="e">
        <f>(1/Table4[[#This Row],[nm4]])*10^7</f>
        <v>#DIV/0!</v>
      </c>
      <c r="AJ300" s="28"/>
      <c r="AK300" s="28" t="e">
        <f>(1/Table4[[#This Row],[nm14]])*10^7</f>
        <v>#DIV/0!</v>
      </c>
      <c r="AL300" s="28"/>
      <c r="AM300" s="28"/>
      <c r="AN300" s="28" t="e">
        <f>(1/Table4[[#This Row],[nm28]])*10^7</f>
        <v>#DIV/0!</v>
      </c>
      <c r="AO300" s="28"/>
      <c r="AP300" s="28" t="e">
        <f>(1/Table4[[#This Row],[nm10]])*10^7</f>
        <v>#DIV/0!</v>
      </c>
      <c r="AQ300" s="28"/>
      <c r="AR300" s="28" t="e">
        <f>(1/Table4[[#This Row],[nm11]])*10^7</f>
        <v>#DIV/0!</v>
      </c>
      <c r="AS300" s="28"/>
      <c r="AT300" s="28">
        <f>Table4[[#This Row],[Φ]]*100</f>
        <v>0</v>
      </c>
      <c r="AU300" s="28"/>
      <c r="AV300" s="28"/>
    </row>
    <row r="301" spans="3:48" x14ac:dyDescent="0.3">
      <c r="C301" s="27" t="e">
        <f>VLOOKUP(Table4[[#This Row],[Marker name]],BaseInfos_Table[#All],6,FALSE)</f>
        <v>#N/A</v>
      </c>
      <c r="G301" s="41" t="e">
        <f>(1*10^7)/Table4[[#This Row],[cm-1]]</f>
        <v>#DIV/0!</v>
      </c>
      <c r="I301" s="41" t="e">
        <f>(1*10^7)/Table4[[#This Row],[cm-2]]</f>
        <v>#DIV/0!</v>
      </c>
      <c r="K301" s="41" t="e">
        <f>(1*10^7)/Table4[[#This Row],[cm-3]]</f>
        <v>#DIV/0!</v>
      </c>
      <c r="R301" s="41" t="e">
        <f>(1*10^7)/Table4[[#This Row],[nm2]]</f>
        <v>#DIV/0!</v>
      </c>
      <c r="T301" s="41" t="e">
        <f>(1*10^7)/Table4[[#This Row],[nm12]]</f>
        <v>#DIV/0!</v>
      </c>
      <c r="Z301" s="28"/>
      <c r="AA301" s="28"/>
      <c r="AB301" s="28" t="e">
        <f>(1/Table4[[#This Row],[nm5]])*10^7</f>
        <v>#DIV/0!</v>
      </c>
      <c r="AC301" s="28"/>
      <c r="AD301" s="28" t="e">
        <f>(1/Table4[[#This Row],[nm8]])*10^7</f>
        <v>#DIV/0!</v>
      </c>
      <c r="AE301" s="28"/>
      <c r="AF301" s="28" t="e">
        <f>(1/Table4[[#This Row],[nm9]])*10^7</f>
        <v>#DIV/0!</v>
      </c>
      <c r="AG301" s="28"/>
      <c r="AH301" s="28"/>
      <c r="AI301" s="28" t="e">
        <f>(1/Table4[[#This Row],[nm4]])*10^7</f>
        <v>#DIV/0!</v>
      </c>
      <c r="AJ301" s="28"/>
      <c r="AK301" s="28" t="e">
        <f>(1/Table4[[#This Row],[nm14]])*10^7</f>
        <v>#DIV/0!</v>
      </c>
      <c r="AL301" s="28"/>
      <c r="AM301" s="28"/>
      <c r="AN301" s="28" t="e">
        <f>(1/Table4[[#This Row],[nm28]])*10^7</f>
        <v>#DIV/0!</v>
      </c>
      <c r="AO301" s="28"/>
      <c r="AP301" s="28" t="e">
        <f>(1/Table4[[#This Row],[nm10]])*10^7</f>
        <v>#DIV/0!</v>
      </c>
      <c r="AQ301" s="28"/>
      <c r="AR301" s="28" t="e">
        <f>(1/Table4[[#This Row],[nm11]])*10^7</f>
        <v>#DIV/0!</v>
      </c>
      <c r="AS301" s="28"/>
      <c r="AT301" s="28">
        <f>Table4[[#This Row],[Φ]]*100</f>
        <v>0</v>
      </c>
      <c r="AU301" s="28"/>
      <c r="AV301" s="28"/>
    </row>
    <row r="302" spans="3:48" x14ac:dyDescent="0.3">
      <c r="C302" s="27" t="e">
        <f>VLOOKUP(Table4[[#This Row],[Marker name]],BaseInfos_Table[#All],6,FALSE)</f>
        <v>#N/A</v>
      </c>
      <c r="G302" s="41" t="e">
        <f>(1*10^7)/Table4[[#This Row],[cm-1]]</f>
        <v>#DIV/0!</v>
      </c>
      <c r="I302" s="41" t="e">
        <f>(1*10^7)/Table4[[#This Row],[cm-2]]</f>
        <v>#DIV/0!</v>
      </c>
      <c r="K302" s="41" t="e">
        <f>(1*10^7)/Table4[[#This Row],[cm-3]]</f>
        <v>#DIV/0!</v>
      </c>
      <c r="R302" s="41" t="e">
        <f>(1*10^7)/Table4[[#This Row],[nm2]]</f>
        <v>#DIV/0!</v>
      </c>
      <c r="T302" s="41" t="e">
        <f>(1*10^7)/Table4[[#This Row],[nm12]]</f>
        <v>#DIV/0!</v>
      </c>
      <c r="Z302" s="28"/>
      <c r="AA302" s="28"/>
      <c r="AB302" s="28" t="e">
        <f>(1/Table4[[#This Row],[nm5]])*10^7</f>
        <v>#DIV/0!</v>
      </c>
      <c r="AC302" s="28"/>
      <c r="AD302" s="28" t="e">
        <f>(1/Table4[[#This Row],[nm8]])*10^7</f>
        <v>#DIV/0!</v>
      </c>
      <c r="AE302" s="28"/>
      <c r="AF302" s="28" t="e">
        <f>(1/Table4[[#This Row],[nm9]])*10^7</f>
        <v>#DIV/0!</v>
      </c>
      <c r="AG302" s="28"/>
      <c r="AH302" s="28"/>
      <c r="AI302" s="28" t="e">
        <f>(1/Table4[[#This Row],[nm4]])*10^7</f>
        <v>#DIV/0!</v>
      </c>
      <c r="AJ302" s="28"/>
      <c r="AK302" s="28" t="e">
        <f>(1/Table4[[#This Row],[nm14]])*10^7</f>
        <v>#DIV/0!</v>
      </c>
      <c r="AL302" s="28"/>
      <c r="AM302" s="28"/>
      <c r="AN302" s="28" t="e">
        <f>(1/Table4[[#This Row],[nm28]])*10^7</f>
        <v>#DIV/0!</v>
      </c>
      <c r="AO302" s="28"/>
      <c r="AP302" s="28" t="e">
        <f>(1/Table4[[#This Row],[nm10]])*10^7</f>
        <v>#DIV/0!</v>
      </c>
      <c r="AQ302" s="28"/>
      <c r="AR302" s="28" t="e">
        <f>(1/Table4[[#This Row],[nm11]])*10^7</f>
        <v>#DIV/0!</v>
      </c>
      <c r="AS302" s="28"/>
      <c r="AT302" s="28">
        <f>Table4[[#This Row],[Φ]]*100</f>
        <v>0</v>
      </c>
      <c r="AU302" s="28"/>
      <c r="AV302" s="28"/>
    </row>
    <row r="303" spans="3:48" x14ac:dyDescent="0.3">
      <c r="C303" s="27" t="e">
        <f>VLOOKUP(Table4[[#This Row],[Marker name]],BaseInfos_Table[#All],6,FALSE)</f>
        <v>#N/A</v>
      </c>
      <c r="G303" s="41" t="e">
        <f>(1*10^7)/Table4[[#This Row],[cm-1]]</f>
        <v>#DIV/0!</v>
      </c>
      <c r="I303" s="41" t="e">
        <f>(1*10^7)/Table4[[#This Row],[cm-2]]</f>
        <v>#DIV/0!</v>
      </c>
      <c r="K303" s="41" t="e">
        <f>(1*10^7)/Table4[[#This Row],[cm-3]]</f>
        <v>#DIV/0!</v>
      </c>
      <c r="R303" s="41" t="e">
        <f>(1*10^7)/Table4[[#This Row],[nm2]]</f>
        <v>#DIV/0!</v>
      </c>
      <c r="T303" s="41" t="e">
        <f>(1*10^7)/Table4[[#This Row],[nm12]]</f>
        <v>#DIV/0!</v>
      </c>
      <c r="Z303" s="28"/>
      <c r="AA303" s="28"/>
      <c r="AB303" s="28" t="e">
        <f>(1/Table4[[#This Row],[nm5]])*10^7</f>
        <v>#DIV/0!</v>
      </c>
      <c r="AC303" s="28"/>
      <c r="AD303" s="28" t="e">
        <f>(1/Table4[[#This Row],[nm8]])*10^7</f>
        <v>#DIV/0!</v>
      </c>
      <c r="AE303" s="28"/>
      <c r="AF303" s="28" t="e">
        <f>(1/Table4[[#This Row],[nm9]])*10^7</f>
        <v>#DIV/0!</v>
      </c>
      <c r="AG303" s="28"/>
      <c r="AH303" s="28"/>
      <c r="AI303" s="28" t="e">
        <f>(1/Table4[[#This Row],[nm4]])*10^7</f>
        <v>#DIV/0!</v>
      </c>
      <c r="AJ303" s="28"/>
      <c r="AK303" s="28" t="e">
        <f>(1/Table4[[#This Row],[nm14]])*10^7</f>
        <v>#DIV/0!</v>
      </c>
      <c r="AL303" s="28"/>
      <c r="AM303" s="28"/>
      <c r="AN303" s="28" t="e">
        <f>(1/Table4[[#This Row],[nm28]])*10^7</f>
        <v>#DIV/0!</v>
      </c>
      <c r="AO303" s="28"/>
      <c r="AP303" s="28" t="e">
        <f>(1/Table4[[#This Row],[nm10]])*10^7</f>
        <v>#DIV/0!</v>
      </c>
      <c r="AQ303" s="28"/>
      <c r="AR303" s="28" t="e">
        <f>(1/Table4[[#This Row],[nm11]])*10^7</f>
        <v>#DIV/0!</v>
      </c>
      <c r="AS303" s="28"/>
      <c r="AT303" s="28">
        <f>Table4[[#This Row],[Φ]]*100</f>
        <v>0</v>
      </c>
      <c r="AU303" s="28"/>
      <c r="AV303" s="28"/>
    </row>
    <row r="304" spans="3:48" x14ac:dyDescent="0.3">
      <c r="C304" s="27" t="e">
        <f>VLOOKUP(Table4[[#This Row],[Marker name]],BaseInfos_Table[#All],6,FALSE)</f>
        <v>#N/A</v>
      </c>
      <c r="G304" s="41" t="e">
        <f>(1*10^7)/Table4[[#This Row],[cm-1]]</f>
        <v>#DIV/0!</v>
      </c>
      <c r="I304" s="41" t="e">
        <f>(1*10^7)/Table4[[#This Row],[cm-2]]</f>
        <v>#DIV/0!</v>
      </c>
      <c r="K304" s="41" t="e">
        <f>(1*10^7)/Table4[[#This Row],[cm-3]]</f>
        <v>#DIV/0!</v>
      </c>
      <c r="R304" s="41" t="e">
        <f>(1*10^7)/Table4[[#This Row],[nm2]]</f>
        <v>#DIV/0!</v>
      </c>
      <c r="T304" s="41" t="e">
        <f>(1*10^7)/Table4[[#This Row],[nm12]]</f>
        <v>#DIV/0!</v>
      </c>
      <c r="Z304" s="28"/>
      <c r="AA304" s="28"/>
      <c r="AB304" s="28" t="e">
        <f>(1/Table4[[#This Row],[nm5]])*10^7</f>
        <v>#DIV/0!</v>
      </c>
      <c r="AC304" s="28"/>
      <c r="AD304" s="28" t="e">
        <f>(1/Table4[[#This Row],[nm8]])*10^7</f>
        <v>#DIV/0!</v>
      </c>
      <c r="AE304" s="28"/>
      <c r="AF304" s="28" t="e">
        <f>(1/Table4[[#This Row],[nm9]])*10^7</f>
        <v>#DIV/0!</v>
      </c>
      <c r="AG304" s="28"/>
      <c r="AH304" s="28"/>
      <c r="AI304" s="28" t="e">
        <f>(1/Table4[[#This Row],[nm4]])*10^7</f>
        <v>#DIV/0!</v>
      </c>
      <c r="AJ304" s="28"/>
      <c r="AK304" s="28" t="e">
        <f>(1/Table4[[#This Row],[nm14]])*10^7</f>
        <v>#DIV/0!</v>
      </c>
      <c r="AL304" s="28"/>
      <c r="AM304" s="28"/>
      <c r="AN304" s="28" t="e">
        <f>(1/Table4[[#This Row],[nm28]])*10^7</f>
        <v>#DIV/0!</v>
      </c>
      <c r="AO304" s="28"/>
      <c r="AP304" s="28" t="e">
        <f>(1/Table4[[#This Row],[nm10]])*10^7</f>
        <v>#DIV/0!</v>
      </c>
      <c r="AQ304" s="28"/>
      <c r="AR304" s="28" t="e">
        <f>(1/Table4[[#This Row],[nm11]])*10^7</f>
        <v>#DIV/0!</v>
      </c>
      <c r="AS304" s="28"/>
      <c r="AT304" s="28">
        <f>Table4[[#This Row],[Φ]]*100</f>
        <v>0</v>
      </c>
      <c r="AU304" s="28"/>
      <c r="AV304" s="28"/>
    </row>
    <row r="305" spans="3:48" x14ac:dyDescent="0.3">
      <c r="C305" s="27" t="e">
        <f>VLOOKUP(Table4[[#This Row],[Marker name]],BaseInfos_Table[#All],6,FALSE)</f>
        <v>#N/A</v>
      </c>
      <c r="G305" s="41" t="e">
        <f>(1*10^7)/Table4[[#This Row],[cm-1]]</f>
        <v>#DIV/0!</v>
      </c>
      <c r="I305" s="41" t="e">
        <f>(1*10^7)/Table4[[#This Row],[cm-2]]</f>
        <v>#DIV/0!</v>
      </c>
      <c r="K305" s="41" t="e">
        <f>(1*10^7)/Table4[[#This Row],[cm-3]]</f>
        <v>#DIV/0!</v>
      </c>
      <c r="R305" s="41" t="e">
        <f>(1*10^7)/Table4[[#This Row],[nm2]]</f>
        <v>#DIV/0!</v>
      </c>
      <c r="T305" s="41" t="e">
        <f>(1*10^7)/Table4[[#This Row],[nm12]]</f>
        <v>#DIV/0!</v>
      </c>
      <c r="Z305" s="28"/>
      <c r="AA305" s="28"/>
      <c r="AB305" s="28" t="e">
        <f>(1/Table4[[#This Row],[nm5]])*10^7</f>
        <v>#DIV/0!</v>
      </c>
      <c r="AC305" s="28"/>
      <c r="AD305" s="28" t="e">
        <f>(1/Table4[[#This Row],[nm8]])*10^7</f>
        <v>#DIV/0!</v>
      </c>
      <c r="AE305" s="28"/>
      <c r="AF305" s="28" t="e">
        <f>(1/Table4[[#This Row],[nm9]])*10^7</f>
        <v>#DIV/0!</v>
      </c>
      <c r="AG305" s="28"/>
      <c r="AH305" s="28"/>
      <c r="AI305" s="28" t="e">
        <f>(1/Table4[[#This Row],[nm4]])*10^7</f>
        <v>#DIV/0!</v>
      </c>
      <c r="AJ305" s="28"/>
      <c r="AK305" s="28" t="e">
        <f>(1/Table4[[#This Row],[nm14]])*10^7</f>
        <v>#DIV/0!</v>
      </c>
      <c r="AL305" s="28"/>
      <c r="AM305" s="28"/>
      <c r="AN305" s="28" t="e">
        <f>(1/Table4[[#This Row],[nm28]])*10^7</f>
        <v>#DIV/0!</v>
      </c>
      <c r="AO305" s="28"/>
      <c r="AP305" s="28" t="e">
        <f>(1/Table4[[#This Row],[nm10]])*10^7</f>
        <v>#DIV/0!</v>
      </c>
      <c r="AQ305" s="28"/>
      <c r="AR305" s="28" t="e">
        <f>(1/Table4[[#This Row],[nm11]])*10^7</f>
        <v>#DIV/0!</v>
      </c>
      <c r="AS305" s="28"/>
      <c r="AT305" s="28">
        <f>Table4[[#This Row],[Φ]]*100</f>
        <v>0</v>
      </c>
      <c r="AU305" s="28"/>
      <c r="AV305" s="28"/>
    </row>
    <row r="306" spans="3:48" x14ac:dyDescent="0.3">
      <c r="C306" s="27" t="e">
        <f>VLOOKUP(Table4[[#This Row],[Marker name]],BaseInfos_Table[#All],6,FALSE)</f>
        <v>#N/A</v>
      </c>
      <c r="G306" s="41" t="e">
        <f>(1*10^7)/Table4[[#This Row],[cm-1]]</f>
        <v>#DIV/0!</v>
      </c>
      <c r="I306" s="41" t="e">
        <f>(1*10^7)/Table4[[#This Row],[cm-2]]</f>
        <v>#DIV/0!</v>
      </c>
      <c r="K306" s="41" t="e">
        <f>(1*10^7)/Table4[[#This Row],[cm-3]]</f>
        <v>#DIV/0!</v>
      </c>
      <c r="R306" s="41" t="e">
        <f>(1*10^7)/Table4[[#This Row],[nm2]]</f>
        <v>#DIV/0!</v>
      </c>
      <c r="T306" s="41" t="e">
        <f>(1*10^7)/Table4[[#This Row],[nm12]]</f>
        <v>#DIV/0!</v>
      </c>
      <c r="AB306" s="27" t="e">
        <f>(1/Table4[[#This Row],[nm5]])*10^7</f>
        <v>#DIV/0!</v>
      </c>
      <c r="AD306" s="27" t="e">
        <f>(1/Table4[[#This Row],[nm8]])*10^7</f>
        <v>#DIV/0!</v>
      </c>
      <c r="AF306" s="27" t="e">
        <f>(1/Table4[[#This Row],[nm9]])*10^7</f>
        <v>#DIV/0!</v>
      </c>
      <c r="AI306" s="27" t="e">
        <f>(1/Table4[[#This Row],[nm4]])*10^7</f>
        <v>#DIV/0!</v>
      </c>
      <c r="AK306" s="27" t="e">
        <f>(1/Table4[[#This Row],[nm14]])*10^7</f>
        <v>#DIV/0!</v>
      </c>
      <c r="AN306" s="27" t="e">
        <f>(1/Table4[[#This Row],[nm28]])*10^7</f>
        <v>#DIV/0!</v>
      </c>
      <c r="AP306" s="27" t="e">
        <f>(1/Table4[[#This Row],[nm10]])*10^7</f>
        <v>#DIV/0!</v>
      </c>
      <c r="AR306" s="27" t="e">
        <f>(1/Table4[[#This Row],[nm11]])*10^7</f>
        <v>#DIV/0!</v>
      </c>
      <c r="AT306" s="27">
        <f>Table4[[#This Row],[Φ]]*100</f>
        <v>0</v>
      </c>
    </row>
  </sheetData>
  <mergeCells count="19">
    <mergeCell ref="D1:Y1"/>
    <mergeCell ref="Z2:AG2"/>
    <mergeCell ref="Z1:AV1"/>
    <mergeCell ref="N2:W2"/>
    <mergeCell ref="AT2:AV3"/>
    <mergeCell ref="X2:Y3"/>
    <mergeCell ref="D3:M3"/>
    <mergeCell ref="AM3:AN3"/>
    <mergeCell ref="AO3:AP3"/>
    <mergeCell ref="AQ3:AR3"/>
    <mergeCell ref="AH2:AS2"/>
    <mergeCell ref="AH3:AK3"/>
    <mergeCell ref="AA3:AB3"/>
    <mergeCell ref="AC3:AD3"/>
    <mergeCell ref="N3:O3"/>
    <mergeCell ref="Q3:R3"/>
    <mergeCell ref="S3:T3"/>
    <mergeCell ref="U3:V3"/>
    <mergeCell ref="D2:M2"/>
  </mergeCells>
  <phoneticPr fontId="1" type="noConversion"/>
  <hyperlinks>
    <hyperlink ref="M5" r:id="rId1" location="section=IR-Spectra"/>
    <hyperlink ref="M6" r:id="rId2" location="section=IR-Spectra"/>
    <hyperlink ref="M7" r:id="rId3" location="section=Physical-Description; Sakthiraj-Karthikeyan et al., 2019"/>
    <hyperlink ref="M12" r:id="rId4"/>
    <hyperlink ref="M18" r:id="rId5" location="section=IR-Spectra"/>
    <hyperlink ref="M19" r:id="rId6" location="section=IR-Spectra"/>
    <hyperlink ref="M20" r:id="rId7" location="section=IR-Spectra"/>
    <hyperlink ref="M9" r:id="rId8" location="section=ATR-IR-Spectra"/>
    <hyperlink ref="M8" r:id="rId9"/>
    <hyperlink ref="M10" r:id="rId10"/>
    <hyperlink ref="M11" r:id="rId11"/>
    <hyperlink ref="M21" r:id="rId12" location="section=FTIR-Spectra"/>
    <hyperlink ref="M22" r:id="rId13" location="section=FTIR-Spectra"/>
    <hyperlink ref="M23" r:id="rId14" location="section=Spectral-Information"/>
    <hyperlink ref="M25" r:id="rId15" location="section=FTIR-Spectra"/>
    <hyperlink ref="M26" r:id="rId16" location="section=FTIR-Spectra"/>
    <hyperlink ref="M27" r:id="rId17"/>
    <hyperlink ref="M31" r:id="rId18"/>
    <hyperlink ref="M30" r:id="rId19"/>
    <hyperlink ref="M32" r:id="rId20"/>
    <hyperlink ref="M33" r:id="rId21"/>
    <hyperlink ref="M34" r:id="rId22"/>
    <hyperlink ref="M37" r:id="rId23" location="section=FTIR-Spectra"/>
    <hyperlink ref="M47" r:id="rId24"/>
  </hyperlinks>
  <pageMargins left="0.7" right="0.7" top="0.75" bottom="0.75" header="0.3" footer="0.3"/>
  <pageSetup paperSize="9" orientation="portrait" r:id="rId25"/>
  <legacyDrawing r:id="rId26"/>
  <tableParts count="1">
    <tablePart r:id="rId27"/>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7"/>
  <sheetViews>
    <sheetView zoomScaleNormal="100" workbookViewId="0">
      <pane xSplit="1" topLeftCell="B1" activePane="topRight" state="frozen"/>
      <selection pane="topRight" activeCell="A7" sqref="A7"/>
    </sheetView>
  </sheetViews>
  <sheetFormatPr baseColWidth="10" defaultColWidth="9.28515625" defaultRowHeight="15" x14ac:dyDescent="0.3"/>
  <cols>
    <col min="1" max="1" width="93.28515625" style="10" bestFit="1" customWidth="1"/>
    <col min="2" max="2" width="12.28515625" style="10" customWidth="1"/>
    <col min="3" max="3" width="36" style="10" customWidth="1"/>
    <col min="4" max="4" width="39" style="10" customWidth="1"/>
    <col min="5" max="5" width="27.140625" style="10" customWidth="1"/>
    <col min="6" max="6" width="53.28515625" style="10" customWidth="1"/>
    <col min="7" max="7" width="45.85546875" style="10" customWidth="1"/>
    <col min="8" max="8" width="33.42578125" style="10" customWidth="1"/>
    <col min="9" max="9" width="41" style="10" customWidth="1"/>
    <col min="10" max="10" width="37.85546875" style="10" customWidth="1"/>
    <col min="11" max="11" width="43.5703125" style="10" customWidth="1"/>
    <col min="12" max="12" width="42.28515625" style="10" customWidth="1"/>
    <col min="13" max="13" width="42.7109375" style="10" customWidth="1"/>
    <col min="14" max="14" width="43.28515625" style="10" customWidth="1"/>
    <col min="15" max="16" width="52.28515625" style="10" customWidth="1"/>
    <col min="17" max="18" width="52.5703125" style="10" customWidth="1"/>
    <col min="19" max="20" width="51.42578125" style="10" customWidth="1"/>
    <col min="21" max="21" width="37.7109375" style="10" customWidth="1"/>
    <col min="22" max="23" width="33.7109375" style="10" customWidth="1"/>
    <col min="24" max="24" width="36.85546875" style="10" customWidth="1"/>
    <col min="25" max="25" width="37.7109375" style="10" customWidth="1"/>
    <col min="26" max="26" width="19.85546875" style="10" customWidth="1"/>
    <col min="27" max="27" width="48.7109375" style="10" customWidth="1"/>
    <col min="28" max="28" width="33.28515625" style="10" customWidth="1"/>
    <col min="29" max="29" width="28.7109375" style="10" customWidth="1"/>
    <col min="30" max="30" width="24.7109375" style="10" customWidth="1"/>
    <col min="31" max="31" width="16.28515625" style="10" customWidth="1"/>
    <col min="32" max="32" width="42.85546875" style="10" customWidth="1"/>
    <col min="33" max="33" width="30.28515625" style="10" customWidth="1"/>
    <col min="34" max="34" width="38.5703125" style="10" customWidth="1"/>
    <col min="35" max="35" width="39.42578125" style="10" bestFit="1" customWidth="1"/>
    <col min="36" max="16384" width="9.28515625" style="10"/>
  </cols>
  <sheetData>
    <row r="1" spans="1:35" x14ac:dyDescent="0.3">
      <c r="A1" s="55" t="s">
        <v>758</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row>
    <row r="2" spans="1:35" x14ac:dyDescent="0.3">
      <c r="A2" s="24" t="s">
        <v>716</v>
      </c>
      <c r="B2" s="24"/>
      <c r="C2" s="24" t="s">
        <v>755</v>
      </c>
      <c r="D2" s="24"/>
      <c r="E2" s="24"/>
      <c r="F2" s="24"/>
      <c r="G2" s="24"/>
      <c r="H2" s="24"/>
      <c r="I2" s="24"/>
      <c r="J2" s="24"/>
      <c r="K2" s="24" t="s">
        <v>97</v>
      </c>
      <c r="L2" s="24"/>
      <c r="M2" s="24"/>
      <c r="N2" s="24"/>
      <c r="O2" s="24"/>
      <c r="P2" s="24"/>
      <c r="Q2" s="24"/>
      <c r="R2" s="24"/>
      <c r="S2" s="24"/>
      <c r="T2" s="24"/>
      <c r="U2" s="24"/>
      <c r="V2" s="24"/>
      <c r="W2" s="24"/>
      <c r="X2" s="24"/>
      <c r="Y2" s="24"/>
      <c r="Z2" s="24" t="s">
        <v>100</v>
      </c>
      <c r="AA2" s="24" t="s">
        <v>101</v>
      </c>
      <c r="AB2" s="24"/>
      <c r="AC2" s="24"/>
      <c r="AD2" s="24"/>
      <c r="AE2" s="24"/>
      <c r="AF2" s="24"/>
      <c r="AG2" s="24" t="s">
        <v>107</v>
      </c>
      <c r="AH2" s="24" t="s">
        <v>753</v>
      </c>
      <c r="AI2" s="24" t="s">
        <v>754</v>
      </c>
    </row>
    <row r="3" spans="1:35" x14ac:dyDescent="0.3">
      <c r="A3" s="18" t="s">
        <v>719</v>
      </c>
      <c r="B3" s="10" t="s">
        <v>717</v>
      </c>
      <c r="C3" s="10" t="s">
        <v>119</v>
      </c>
      <c r="D3" s="10" t="s">
        <v>120</v>
      </c>
      <c r="E3" s="10" t="s">
        <v>121</v>
      </c>
      <c r="F3" s="11" t="s">
        <v>122</v>
      </c>
      <c r="G3" s="11" t="s">
        <v>123</v>
      </c>
      <c r="H3" s="11" t="s">
        <v>124</v>
      </c>
      <c r="I3" s="11" t="s">
        <v>125</v>
      </c>
      <c r="J3" s="11" t="s">
        <v>126</v>
      </c>
      <c r="K3" s="10" t="s">
        <v>129</v>
      </c>
      <c r="L3" s="10" t="s">
        <v>130</v>
      </c>
      <c r="M3" s="10" t="s">
        <v>131</v>
      </c>
      <c r="N3" s="10" t="s">
        <v>132</v>
      </c>
      <c r="O3" s="10" t="s">
        <v>133</v>
      </c>
      <c r="P3" s="10" t="s">
        <v>134</v>
      </c>
      <c r="Q3" s="10" t="s">
        <v>135</v>
      </c>
      <c r="R3" s="10" t="s">
        <v>136</v>
      </c>
      <c r="S3" s="10" t="s">
        <v>127</v>
      </c>
      <c r="T3" s="10" t="s">
        <v>137</v>
      </c>
      <c r="U3" s="10" t="s">
        <v>98</v>
      </c>
      <c r="V3" s="10" t="s">
        <v>139</v>
      </c>
      <c r="W3" s="10" t="s">
        <v>138</v>
      </c>
      <c r="X3" s="10" t="s">
        <v>141</v>
      </c>
      <c r="Y3" s="10" t="s">
        <v>99</v>
      </c>
      <c r="Z3" s="10" t="s">
        <v>625</v>
      </c>
      <c r="AA3" s="10" t="s">
        <v>684</v>
      </c>
      <c r="AB3" s="10" t="s">
        <v>102</v>
      </c>
      <c r="AC3" s="10" t="s">
        <v>103</v>
      </c>
      <c r="AD3" s="10" t="s">
        <v>104</v>
      </c>
      <c r="AE3" s="10" t="s">
        <v>105</v>
      </c>
      <c r="AF3" s="10" t="s">
        <v>106</v>
      </c>
      <c r="AG3" s="10" t="s">
        <v>110</v>
      </c>
      <c r="AH3" s="10" t="s">
        <v>117</v>
      </c>
      <c r="AI3" s="10" t="s">
        <v>118</v>
      </c>
    </row>
    <row r="4" spans="1:35" x14ac:dyDescent="0.3">
      <c r="A4" s="10" t="s">
        <v>0</v>
      </c>
      <c r="B4" s="11" t="str">
        <f>VLOOKUP(Ecotox_Table[[#This Row],[Marker name]],BaseInfos_Table[],3,FALSE)</f>
        <v>1533-45-5</v>
      </c>
      <c r="C4" s="11">
        <v>0.64500000000000002</v>
      </c>
      <c r="D4" s="11">
        <v>6.4500000000000002E-2</v>
      </c>
      <c r="E4" s="11">
        <v>680</v>
      </c>
      <c r="F4" s="11">
        <v>45000</v>
      </c>
      <c r="G4" s="11">
        <v>4500</v>
      </c>
      <c r="H4" s="11" t="s">
        <v>77</v>
      </c>
      <c r="I4" s="11">
        <v>9010</v>
      </c>
      <c r="J4" s="11" t="s">
        <v>77</v>
      </c>
      <c r="K4" s="10" t="s">
        <v>108</v>
      </c>
      <c r="L4" s="10" t="s">
        <v>108</v>
      </c>
      <c r="M4" s="10" t="s">
        <v>55</v>
      </c>
      <c r="N4" s="10" t="s">
        <v>55</v>
      </c>
      <c r="O4" s="10" t="s">
        <v>109</v>
      </c>
      <c r="P4" s="10" t="s">
        <v>109</v>
      </c>
      <c r="Q4" s="10" t="s">
        <v>55</v>
      </c>
      <c r="R4" s="10" t="s">
        <v>55</v>
      </c>
      <c r="S4" s="10">
        <v>2391</v>
      </c>
      <c r="U4" s="10" t="s">
        <v>55</v>
      </c>
      <c r="V4" s="10" t="s">
        <v>128</v>
      </c>
      <c r="X4" s="10" t="s">
        <v>55</v>
      </c>
      <c r="Y4" s="10" t="s">
        <v>55</v>
      </c>
      <c r="Z4" s="10" t="s">
        <v>55</v>
      </c>
      <c r="AA4" s="10" t="s">
        <v>55</v>
      </c>
      <c r="AB4" s="10" t="s">
        <v>55</v>
      </c>
      <c r="AC4" s="10" t="s">
        <v>55</v>
      </c>
      <c r="AD4" s="10" t="s">
        <v>55</v>
      </c>
      <c r="AE4" s="10" t="s">
        <v>55</v>
      </c>
      <c r="AF4" s="10" t="s">
        <v>55</v>
      </c>
      <c r="AG4" s="10" t="s">
        <v>55</v>
      </c>
      <c r="AH4" s="10" t="s">
        <v>55</v>
      </c>
      <c r="AI4" s="10" t="s">
        <v>55</v>
      </c>
    </row>
    <row r="5" spans="1:35" x14ac:dyDescent="0.3">
      <c r="A5" s="10" t="s">
        <v>1</v>
      </c>
      <c r="B5" s="11" t="str">
        <f>VLOOKUP(Ecotox_Table[[#This Row],[Marker name]],BaseInfos_Table[],3,FALSE)</f>
        <v>7128-64-5</v>
      </c>
      <c r="C5" s="10">
        <v>200</v>
      </c>
      <c r="D5" s="10">
        <v>20</v>
      </c>
      <c r="E5" s="10">
        <v>1000</v>
      </c>
      <c r="F5" s="10">
        <v>3160000</v>
      </c>
      <c r="G5" s="10">
        <v>316000</v>
      </c>
      <c r="H5" s="10" t="s">
        <v>77</v>
      </c>
      <c r="I5" s="10">
        <v>629000</v>
      </c>
      <c r="J5" s="10" t="s">
        <v>77</v>
      </c>
      <c r="K5" s="10" t="s">
        <v>108</v>
      </c>
      <c r="L5" s="10" t="s">
        <v>108</v>
      </c>
      <c r="M5" s="10" t="s">
        <v>55</v>
      </c>
      <c r="N5" s="10" t="s">
        <v>55</v>
      </c>
      <c r="O5" s="10" t="s">
        <v>109</v>
      </c>
      <c r="P5" s="10" t="s">
        <v>109</v>
      </c>
      <c r="Q5" s="10" t="s">
        <v>109</v>
      </c>
      <c r="R5" s="10" t="s">
        <v>109</v>
      </c>
      <c r="S5" s="10" t="s">
        <v>109</v>
      </c>
      <c r="T5" s="10" t="s">
        <v>109</v>
      </c>
      <c r="U5" s="10" t="s">
        <v>55</v>
      </c>
      <c r="V5" s="10" t="s">
        <v>109</v>
      </c>
      <c r="W5" s="10" t="s">
        <v>109</v>
      </c>
      <c r="X5" s="10" t="s">
        <v>55</v>
      </c>
      <c r="Y5" s="10" t="s">
        <v>55</v>
      </c>
      <c r="Z5" s="10" t="s">
        <v>55</v>
      </c>
      <c r="AA5" s="10" t="s">
        <v>55</v>
      </c>
      <c r="AB5" s="10" t="s">
        <v>55</v>
      </c>
      <c r="AC5" s="10" t="s">
        <v>55</v>
      </c>
      <c r="AD5" s="10" t="s">
        <v>55</v>
      </c>
      <c r="AE5" s="10" t="s">
        <v>55</v>
      </c>
      <c r="AF5" s="10" t="s">
        <v>55</v>
      </c>
      <c r="AG5" s="10" t="s">
        <v>55</v>
      </c>
      <c r="AH5" s="10" t="s">
        <v>55</v>
      </c>
      <c r="AI5" s="10" t="s">
        <v>55</v>
      </c>
    </row>
    <row r="6" spans="1:35" x14ac:dyDescent="0.3">
      <c r="A6" s="10" t="s">
        <v>686</v>
      </c>
      <c r="B6" s="11" t="str">
        <f>VLOOKUP(Ecotox_Table[[#This Row],[Marker name]],BaseInfos_Table[],3,FALSE)</f>
        <v>1306-38-3</v>
      </c>
      <c r="C6" s="10" t="s">
        <v>77</v>
      </c>
      <c r="D6" s="10" t="s">
        <v>55</v>
      </c>
      <c r="E6" s="10" t="s">
        <v>77</v>
      </c>
      <c r="F6" s="10" t="s">
        <v>55</v>
      </c>
      <c r="G6" s="10" t="s">
        <v>55</v>
      </c>
      <c r="H6" s="10" t="s">
        <v>77</v>
      </c>
      <c r="I6" s="10" t="s">
        <v>77</v>
      </c>
      <c r="J6" s="10" t="s">
        <v>77</v>
      </c>
      <c r="K6" s="10" t="s">
        <v>108</v>
      </c>
      <c r="L6" s="10" t="s">
        <v>108</v>
      </c>
      <c r="M6" s="10" t="s">
        <v>84</v>
      </c>
      <c r="N6" s="10" t="s">
        <v>84</v>
      </c>
      <c r="O6" s="10" t="s">
        <v>109</v>
      </c>
      <c r="P6" s="10" t="s">
        <v>109</v>
      </c>
      <c r="Q6" s="10" t="s">
        <v>109</v>
      </c>
      <c r="R6" s="10" t="s">
        <v>109</v>
      </c>
      <c r="S6" s="10" t="s">
        <v>140</v>
      </c>
      <c r="T6" s="10" t="s">
        <v>140</v>
      </c>
      <c r="U6" s="10" t="s">
        <v>55</v>
      </c>
      <c r="V6" s="10" t="s">
        <v>109</v>
      </c>
      <c r="W6" s="10" t="s">
        <v>109</v>
      </c>
      <c r="X6" s="10" t="s">
        <v>55</v>
      </c>
      <c r="Y6" s="10" t="s">
        <v>142</v>
      </c>
      <c r="Z6" s="10" t="s">
        <v>84</v>
      </c>
      <c r="AA6" s="10" t="s">
        <v>143</v>
      </c>
      <c r="AB6" s="10" t="s">
        <v>84</v>
      </c>
      <c r="AC6" s="10" t="s">
        <v>143</v>
      </c>
      <c r="AD6" s="10" t="s">
        <v>143</v>
      </c>
      <c r="AE6" s="10" t="s">
        <v>84</v>
      </c>
      <c r="AF6" s="10" t="s">
        <v>55</v>
      </c>
      <c r="AG6" s="10" t="s">
        <v>55</v>
      </c>
      <c r="AH6" s="10" t="s">
        <v>55</v>
      </c>
      <c r="AI6" s="10" t="s">
        <v>144</v>
      </c>
    </row>
    <row r="7" spans="1:35" x14ac:dyDescent="0.3">
      <c r="A7" s="10" t="s">
        <v>687</v>
      </c>
      <c r="B7" s="11" t="str">
        <f>VLOOKUP(Ecotox_Table[[#This Row],[Marker name]],BaseInfos_Table[],3,FALSE)</f>
        <v>1314-36-9</v>
      </c>
      <c r="C7" s="10" t="s">
        <v>55</v>
      </c>
      <c r="D7" s="10" t="s">
        <v>55</v>
      </c>
      <c r="E7" s="10" t="s">
        <v>55</v>
      </c>
      <c r="F7" s="10" t="s">
        <v>55</v>
      </c>
      <c r="G7" s="10" t="s">
        <v>55</v>
      </c>
      <c r="H7" s="10" t="s">
        <v>55</v>
      </c>
      <c r="I7" s="10" t="s">
        <v>55</v>
      </c>
      <c r="J7" s="10" t="s">
        <v>84</v>
      </c>
      <c r="K7" s="10" t="s">
        <v>108</v>
      </c>
      <c r="L7" s="10" t="s">
        <v>108</v>
      </c>
      <c r="M7" s="10" t="s">
        <v>84</v>
      </c>
      <c r="N7" s="10" t="s">
        <v>84</v>
      </c>
      <c r="O7" s="10" t="s">
        <v>109</v>
      </c>
      <c r="P7" s="10" t="s">
        <v>109</v>
      </c>
      <c r="Q7" s="10" t="s">
        <v>84</v>
      </c>
      <c r="R7" s="10" t="s">
        <v>84</v>
      </c>
      <c r="S7" s="10" t="s">
        <v>140</v>
      </c>
      <c r="T7" s="10" t="s">
        <v>140</v>
      </c>
      <c r="U7" s="10" t="s">
        <v>55</v>
      </c>
      <c r="V7" s="10" t="s">
        <v>109</v>
      </c>
      <c r="W7" s="10" t="s">
        <v>109</v>
      </c>
      <c r="X7" s="10" t="s">
        <v>55</v>
      </c>
      <c r="Y7" s="10" t="s">
        <v>55</v>
      </c>
      <c r="Z7" s="10" t="s">
        <v>55</v>
      </c>
      <c r="AA7" s="10" t="s">
        <v>84</v>
      </c>
      <c r="AB7" s="10" t="s">
        <v>84</v>
      </c>
      <c r="AC7" s="10" t="s">
        <v>84</v>
      </c>
      <c r="AD7" s="10" t="s">
        <v>84</v>
      </c>
      <c r="AE7" s="10" t="s">
        <v>55</v>
      </c>
      <c r="AF7" s="10" t="s">
        <v>55</v>
      </c>
      <c r="AG7" s="10" t="s">
        <v>55</v>
      </c>
      <c r="AH7" s="10" t="s">
        <v>55</v>
      </c>
      <c r="AI7" s="10" t="s">
        <v>55</v>
      </c>
    </row>
    <row r="8" spans="1:35" x14ac:dyDescent="0.3">
      <c r="A8" s="10" t="s">
        <v>688</v>
      </c>
      <c r="B8" s="11" t="str">
        <f>VLOOKUP(Ecotox_Table[[#This Row],[Marker name]],BaseInfos_Table[],3,FALSE)</f>
        <v>1313-97-9</v>
      </c>
      <c r="C8" s="10" t="s">
        <v>77</v>
      </c>
      <c r="D8" s="10" t="s">
        <v>77</v>
      </c>
      <c r="E8" s="10" t="s">
        <v>77</v>
      </c>
      <c r="F8" s="10" t="s">
        <v>77</v>
      </c>
      <c r="G8" s="10" t="s">
        <v>77</v>
      </c>
      <c r="H8" s="10" t="s">
        <v>77</v>
      </c>
      <c r="I8" s="10" t="s">
        <v>77</v>
      </c>
      <c r="J8" s="10" t="s">
        <v>77</v>
      </c>
      <c r="K8" s="10" t="s">
        <v>108</v>
      </c>
      <c r="L8" s="10" t="s">
        <v>108</v>
      </c>
      <c r="M8" s="10" t="s">
        <v>55</v>
      </c>
      <c r="N8" s="10" t="s">
        <v>55</v>
      </c>
      <c r="O8" s="10" t="s">
        <v>109</v>
      </c>
      <c r="P8" s="10" t="s">
        <v>109</v>
      </c>
      <c r="Q8" s="10" t="s">
        <v>55</v>
      </c>
      <c r="R8" s="10" t="s">
        <v>55</v>
      </c>
      <c r="S8" s="10" t="s">
        <v>140</v>
      </c>
      <c r="T8" s="10" t="s">
        <v>140</v>
      </c>
      <c r="U8" s="10" t="s">
        <v>55</v>
      </c>
      <c r="V8" s="10" t="s">
        <v>84</v>
      </c>
      <c r="W8" s="10" t="s">
        <v>84</v>
      </c>
      <c r="X8" s="10" t="s">
        <v>55</v>
      </c>
      <c r="Y8" s="10" t="s">
        <v>55</v>
      </c>
      <c r="Z8" s="10" t="s">
        <v>55</v>
      </c>
      <c r="AA8" s="10" t="s">
        <v>84</v>
      </c>
      <c r="AB8" s="10" t="s">
        <v>84</v>
      </c>
      <c r="AC8" s="10" t="s">
        <v>84</v>
      </c>
      <c r="AD8" s="10" t="s">
        <v>84</v>
      </c>
      <c r="AE8" s="10" t="s">
        <v>55</v>
      </c>
      <c r="AF8" s="10" t="s">
        <v>55</v>
      </c>
      <c r="AG8" s="10" t="s">
        <v>55</v>
      </c>
      <c r="AH8" s="10" t="s">
        <v>55</v>
      </c>
      <c r="AI8" s="10" t="s">
        <v>55</v>
      </c>
    </row>
    <row r="9" spans="1:35" x14ac:dyDescent="0.3">
      <c r="A9" s="10" t="s">
        <v>689</v>
      </c>
      <c r="B9" s="11" t="str">
        <f>VLOOKUP(Ecotox_Table[[#This Row],[Marker name]],BaseInfos_Table[],3,FALSE)</f>
        <v>12064-62-9</v>
      </c>
      <c r="C9" s="10" t="s">
        <v>77</v>
      </c>
      <c r="D9" s="11" t="s">
        <v>77</v>
      </c>
      <c r="E9" s="11" t="s">
        <v>55</v>
      </c>
      <c r="F9" s="11" t="s">
        <v>77</v>
      </c>
      <c r="G9" s="11" t="s">
        <v>77</v>
      </c>
      <c r="H9" s="11" t="s">
        <v>77</v>
      </c>
      <c r="I9" s="11" t="s">
        <v>77</v>
      </c>
      <c r="J9" s="11" t="s">
        <v>77</v>
      </c>
      <c r="K9" s="10" t="s">
        <v>108</v>
      </c>
      <c r="L9" s="10" t="s">
        <v>108</v>
      </c>
      <c r="M9" s="10" t="s">
        <v>55</v>
      </c>
      <c r="N9" s="10" t="s">
        <v>55</v>
      </c>
      <c r="O9" s="10" t="s">
        <v>109</v>
      </c>
      <c r="P9" s="10" t="s">
        <v>109</v>
      </c>
      <c r="Q9" s="10" t="s">
        <v>55</v>
      </c>
      <c r="R9" s="10" t="s">
        <v>55</v>
      </c>
      <c r="S9" s="10" t="s">
        <v>84</v>
      </c>
      <c r="T9" s="10" t="s">
        <v>84</v>
      </c>
      <c r="U9" s="10" t="s">
        <v>55</v>
      </c>
      <c r="V9" s="10" t="s">
        <v>84</v>
      </c>
      <c r="W9" s="10" t="s">
        <v>84</v>
      </c>
      <c r="X9" s="10" t="s">
        <v>55</v>
      </c>
      <c r="Y9" s="10" t="s">
        <v>55</v>
      </c>
      <c r="Z9" s="10" t="s">
        <v>55</v>
      </c>
      <c r="AA9" s="10" t="s">
        <v>55</v>
      </c>
      <c r="AB9" s="10" t="s">
        <v>55</v>
      </c>
      <c r="AC9" s="10" t="s">
        <v>55</v>
      </c>
      <c r="AD9" s="10" t="s">
        <v>55</v>
      </c>
      <c r="AE9" s="10" t="s">
        <v>55</v>
      </c>
      <c r="AF9" s="10" t="s">
        <v>55</v>
      </c>
      <c r="AG9" s="10" t="s">
        <v>55</v>
      </c>
      <c r="AH9" s="10" t="s">
        <v>55</v>
      </c>
      <c r="AI9" s="10" t="s">
        <v>55</v>
      </c>
    </row>
    <row r="10" spans="1:35" x14ac:dyDescent="0.3">
      <c r="A10" s="10" t="s">
        <v>690</v>
      </c>
      <c r="B10" s="11" t="str">
        <f>VLOOKUP(Ecotox_Table[[#This Row],[Marker name]],BaseInfos_Table[],3,FALSE)</f>
        <v>1308-87-8</v>
      </c>
      <c r="C10" s="10" t="s">
        <v>55</v>
      </c>
      <c r="D10" s="10" t="s">
        <v>55</v>
      </c>
      <c r="E10" s="10" t="s">
        <v>55</v>
      </c>
      <c r="F10" s="10" t="s">
        <v>55</v>
      </c>
      <c r="G10" s="10" t="s">
        <v>55</v>
      </c>
      <c r="H10" s="10" t="s">
        <v>55</v>
      </c>
      <c r="I10" s="10" t="s">
        <v>55</v>
      </c>
      <c r="J10" s="10" t="s">
        <v>55</v>
      </c>
      <c r="K10" s="10" t="s">
        <v>55</v>
      </c>
      <c r="L10" s="10" t="s">
        <v>55</v>
      </c>
      <c r="M10" s="10" t="s">
        <v>55</v>
      </c>
      <c r="N10" s="10" t="s">
        <v>55</v>
      </c>
      <c r="O10" s="10" t="s">
        <v>109</v>
      </c>
      <c r="P10" s="10" t="s">
        <v>109</v>
      </c>
      <c r="Q10" s="10" t="s">
        <v>55</v>
      </c>
      <c r="R10" s="10" t="s">
        <v>55</v>
      </c>
      <c r="S10" s="10" t="s">
        <v>84</v>
      </c>
      <c r="T10" s="10" t="s">
        <v>84</v>
      </c>
      <c r="U10" s="10" t="s">
        <v>55</v>
      </c>
      <c r="V10" s="10" t="s">
        <v>55</v>
      </c>
      <c r="W10" s="10" t="s">
        <v>55</v>
      </c>
      <c r="X10" s="10" t="s">
        <v>55</v>
      </c>
      <c r="Y10" s="10" t="s">
        <v>55</v>
      </c>
      <c r="Z10" s="10" t="s">
        <v>55</v>
      </c>
      <c r="AA10" s="10" t="s">
        <v>55</v>
      </c>
      <c r="AB10" s="10" t="s">
        <v>55</v>
      </c>
      <c r="AC10" s="10" t="s">
        <v>55</v>
      </c>
      <c r="AD10" s="10" t="s">
        <v>55</v>
      </c>
      <c r="AE10" s="10" t="s">
        <v>55</v>
      </c>
      <c r="AF10" s="10" t="s">
        <v>55</v>
      </c>
      <c r="AG10" s="10" t="s">
        <v>55</v>
      </c>
      <c r="AH10" s="10" t="s">
        <v>55</v>
      </c>
      <c r="AI10" s="10" t="s">
        <v>55</v>
      </c>
    </row>
    <row r="11" spans="1:35" x14ac:dyDescent="0.3">
      <c r="A11" s="10" t="s">
        <v>11</v>
      </c>
      <c r="B11" s="11" t="str">
        <f>VLOOKUP(Ecotox_Table[[#This Row],[Marker name]],BaseInfos_Table[],3,FALSE)</f>
        <v>989-38-8</v>
      </c>
      <c r="C11" s="10" t="s">
        <v>55</v>
      </c>
      <c r="D11" s="10" t="s">
        <v>55</v>
      </c>
      <c r="E11" s="10" t="s">
        <v>55</v>
      </c>
      <c r="F11" s="10" t="s">
        <v>55</v>
      </c>
      <c r="G11" s="10" t="s">
        <v>55</v>
      </c>
      <c r="H11" s="10" t="s">
        <v>55</v>
      </c>
      <c r="I11" s="10" t="s">
        <v>55</v>
      </c>
      <c r="J11" s="10" t="s">
        <v>55</v>
      </c>
      <c r="K11" s="10" t="s">
        <v>55</v>
      </c>
      <c r="L11" s="10" t="s">
        <v>55</v>
      </c>
      <c r="M11" s="10" t="s">
        <v>55</v>
      </c>
      <c r="N11" s="10" t="s">
        <v>55</v>
      </c>
      <c r="O11" s="10">
        <v>160</v>
      </c>
      <c r="P11" s="10" t="s">
        <v>55</v>
      </c>
      <c r="Q11" s="10" t="s">
        <v>55</v>
      </c>
      <c r="R11" s="10" t="s">
        <v>55</v>
      </c>
      <c r="S11" s="10">
        <v>23</v>
      </c>
      <c r="T11" s="10">
        <v>14</v>
      </c>
      <c r="U11" s="10" t="s">
        <v>55</v>
      </c>
      <c r="V11" s="10" t="s">
        <v>55</v>
      </c>
      <c r="W11" s="10" t="s">
        <v>55</v>
      </c>
      <c r="X11" s="10" t="s">
        <v>55</v>
      </c>
      <c r="Y11" s="10" t="s">
        <v>55</v>
      </c>
      <c r="Z11" s="10" t="s">
        <v>55</v>
      </c>
      <c r="AA11" s="10" t="s">
        <v>55</v>
      </c>
      <c r="AB11" s="10" t="s">
        <v>55</v>
      </c>
      <c r="AC11" s="10" t="s">
        <v>55</v>
      </c>
      <c r="AD11" s="10" t="s">
        <v>55</v>
      </c>
      <c r="AE11" s="10" t="s">
        <v>55</v>
      </c>
      <c r="AF11" s="10" t="s">
        <v>55</v>
      </c>
      <c r="AG11" s="10" t="s">
        <v>55</v>
      </c>
      <c r="AH11" s="10" t="s">
        <v>55</v>
      </c>
      <c r="AI11" s="10" t="s">
        <v>55</v>
      </c>
    </row>
    <row r="12" spans="1:35" x14ac:dyDescent="0.3">
      <c r="A12" s="10" t="s">
        <v>12</v>
      </c>
      <c r="B12" s="11" t="str">
        <f>VLOOKUP(Ecotox_Table[[#This Row],[Marker name]],BaseInfos_Table[],3,FALSE)</f>
        <v>n.a.</v>
      </c>
      <c r="C12" s="10" t="s">
        <v>55</v>
      </c>
      <c r="D12" s="10" t="s">
        <v>55</v>
      </c>
      <c r="E12" s="10" t="s">
        <v>55</v>
      </c>
      <c r="F12" s="10" t="s">
        <v>55</v>
      </c>
      <c r="G12" s="10" t="s">
        <v>55</v>
      </c>
      <c r="H12" s="10" t="s">
        <v>55</v>
      </c>
      <c r="I12" s="10" t="s">
        <v>55</v>
      </c>
      <c r="J12" s="10" t="s">
        <v>55</v>
      </c>
      <c r="K12" s="10" t="s">
        <v>55</v>
      </c>
      <c r="L12" s="10" t="s">
        <v>55</v>
      </c>
      <c r="M12" s="10" t="s">
        <v>55</v>
      </c>
      <c r="N12" s="10" t="s">
        <v>55</v>
      </c>
      <c r="O12" s="10" t="s">
        <v>55</v>
      </c>
      <c r="P12" s="10" t="s">
        <v>55</v>
      </c>
      <c r="Q12" s="10" t="s">
        <v>55</v>
      </c>
      <c r="R12" s="10" t="s">
        <v>55</v>
      </c>
      <c r="S12" s="10" t="s">
        <v>55</v>
      </c>
      <c r="T12" s="10" t="s">
        <v>55</v>
      </c>
      <c r="U12" s="10" t="s">
        <v>55</v>
      </c>
      <c r="V12" s="10" t="s">
        <v>55</v>
      </c>
      <c r="W12" s="10" t="s">
        <v>55</v>
      </c>
      <c r="X12" s="10" t="s">
        <v>55</v>
      </c>
      <c r="Y12" s="10" t="s">
        <v>55</v>
      </c>
      <c r="Z12" s="10" t="s">
        <v>55</v>
      </c>
      <c r="AA12" s="10" t="s">
        <v>55</v>
      </c>
      <c r="AB12" s="10" t="s">
        <v>55</v>
      </c>
      <c r="AC12" s="10" t="s">
        <v>55</v>
      </c>
      <c r="AD12" s="10" t="s">
        <v>55</v>
      </c>
      <c r="AE12" s="10" t="s">
        <v>55</v>
      </c>
      <c r="AF12" s="10" t="s">
        <v>55</v>
      </c>
      <c r="AG12" s="10" t="s">
        <v>55</v>
      </c>
      <c r="AH12" s="10" t="s">
        <v>55</v>
      </c>
      <c r="AI12" s="10" t="s">
        <v>55</v>
      </c>
    </row>
    <row r="13" spans="1:35" x14ac:dyDescent="0.3">
      <c r="A13" s="10" t="s">
        <v>19</v>
      </c>
      <c r="B13" s="11" t="str">
        <f>VLOOKUP(Ecotox_Table[[#This Row],[Marker name]],BaseInfos_Table[],3,FALSE)</f>
        <v>n.a.</v>
      </c>
      <c r="C13" s="10" t="s">
        <v>55</v>
      </c>
      <c r="D13" s="10" t="s">
        <v>55</v>
      </c>
      <c r="E13" s="10" t="s">
        <v>55</v>
      </c>
      <c r="F13" s="10" t="s">
        <v>55</v>
      </c>
      <c r="G13" s="10" t="s">
        <v>55</v>
      </c>
      <c r="H13" s="10" t="s">
        <v>55</v>
      </c>
      <c r="I13" s="10" t="s">
        <v>55</v>
      </c>
      <c r="J13" s="10" t="s">
        <v>55</v>
      </c>
      <c r="K13" s="10" t="s">
        <v>55</v>
      </c>
      <c r="L13" s="10" t="s">
        <v>55</v>
      </c>
      <c r="M13" s="10" t="s">
        <v>55</v>
      </c>
      <c r="N13" s="10" t="s">
        <v>55</v>
      </c>
      <c r="O13" s="10" t="s">
        <v>55</v>
      </c>
      <c r="P13" s="10" t="s">
        <v>55</v>
      </c>
      <c r="Q13" s="10" t="s">
        <v>55</v>
      </c>
      <c r="R13" s="10" t="s">
        <v>55</v>
      </c>
      <c r="S13" s="10" t="s">
        <v>55</v>
      </c>
      <c r="T13" s="10" t="s">
        <v>55</v>
      </c>
      <c r="U13" s="10" t="s">
        <v>55</v>
      </c>
      <c r="V13" s="10" t="s">
        <v>55</v>
      </c>
      <c r="W13" s="10" t="s">
        <v>55</v>
      </c>
      <c r="X13" s="10" t="s">
        <v>55</v>
      </c>
      <c r="Y13" s="10" t="s">
        <v>55</v>
      </c>
      <c r="Z13" s="10" t="s">
        <v>55</v>
      </c>
      <c r="AA13" s="10" t="s">
        <v>55</v>
      </c>
      <c r="AB13" s="10" t="s">
        <v>55</v>
      </c>
      <c r="AC13" s="10" t="s">
        <v>55</v>
      </c>
      <c r="AD13" s="10" t="s">
        <v>55</v>
      </c>
      <c r="AE13" s="10" t="s">
        <v>55</v>
      </c>
      <c r="AF13" s="10" t="s">
        <v>55</v>
      </c>
      <c r="AG13" s="10" t="s">
        <v>55</v>
      </c>
      <c r="AH13" s="10" t="s">
        <v>55</v>
      </c>
      <c r="AI13" s="10" t="s">
        <v>55</v>
      </c>
    </row>
    <row r="14" spans="1:35" x14ac:dyDescent="0.3">
      <c r="A14" s="10" t="s">
        <v>21</v>
      </c>
      <c r="B14" s="11" t="str">
        <f>VLOOKUP(Ecotox_Table[[#This Row],[Marker name]],BaseInfos_Table[],3,FALSE)</f>
        <v>n.a.</v>
      </c>
      <c r="C14" s="10" t="s">
        <v>55</v>
      </c>
      <c r="D14" s="10" t="s">
        <v>55</v>
      </c>
      <c r="E14" s="10" t="s">
        <v>55</v>
      </c>
      <c r="F14" s="10" t="s">
        <v>55</v>
      </c>
      <c r="G14" s="10" t="s">
        <v>55</v>
      </c>
      <c r="H14" s="10" t="s">
        <v>55</v>
      </c>
      <c r="I14" s="10" t="s">
        <v>55</v>
      </c>
      <c r="J14" s="10" t="s">
        <v>55</v>
      </c>
      <c r="K14" s="10" t="s">
        <v>55</v>
      </c>
      <c r="L14" s="10" t="s">
        <v>55</v>
      </c>
      <c r="M14" s="10" t="s">
        <v>55</v>
      </c>
      <c r="N14" s="10" t="s">
        <v>55</v>
      </c>
      <c r="O14" s="10" t="s">
        <v>55</v>
      </c>
      <c r="P14" s="10" t="s">
        <v>55</v>
      </c>
      <c r="Q14" s="10" t="s">
        <v>55</v>
      </c>
      <c r="R14" s="10" t="s">
        <v>55</v>
      </c>
      <c r="S14" s="10" t="s">
        <v>55</v>
      </c>
      <c r="T14" s="10" t="s">
        <v>55</v>
      </c>
      <c r="U14" s="10" t="s">
        <v>55</v>
      </c>
      <c r="V14" s="10" t="s">
        <v>55</v>
      </c>
      <c r="W14" s="10" t="s">
        <v>55</v>
      </c>
      <c r="X14" s="10" t="s">
        <v>55</v>
      </c>
      <c r="Y14" s="10" t="s">
        <v>55</v>
      </c>
      <c r="Z14" s="10" t="s">
        <v>55</v>
      </c>
      <c r="AA14" s="10" t="s">
        <v>55</v>
      </c>
      <c r="AB14" s="10" t="s">
        <v>55</v>
      </c>
      <c r="AC14" s="10" t="s">
        <v>55</v>
      </c>
      <c r="AD14" s="10" t="s">
        <v>55</v>
      </c>
      <c r="AE14" s="10" t="s">
        <v>55</v>
      </c>
      <c r="AF14" s="10" t="s">
        <v>55</v>
      </c>
      <c r="AG14" s="10" t="s">
        <v>55</v>
      </c>
      <c r="AH14" s="10" t="s">
        <v>55</v>
      </c>
      <c r="AI14" s="10" t="s">
        <v>55</v>
      </c>
    </row>
    <row r="15" spans="1:35" x14ac:dyDescent="0.3">
      <c r="A15" s="10" t="s">
        <v>20</v>
      </c>
      <c r="B15" s="11" t="str">
        <f>VLOOKUP(Ecotox_Table[[#This Row],[Marker name]],BaseInfos_Table[],3,FALSE)</f>
        <v>n.a.</v>
      </c>
      <c r="C15" s="10" t="s">
        <v>55</v>
      </c>
      <c r="D15" s="10" t="s">
        <v>55</v>
      </c>
      <c r="E15" s="10" t="s">
        <v>55</v>
      </c>
      <c r="F15" s="10" t="s">
        <v>55</v>
      </c>
      <c r="G15" s="10" t="s">
        <v>55</v>
      </c>
      <c r="H15" s="10" t="s">
        <v>55</v>
      </c>
      <c r="I15" s="10" t="s">
        <v>55</v>
      </c>
      <c r="J15" s="10" t="s">
        <v>55</v>
      </c>
      <c r="K15" s="10" t="s">
        <v>55</v>
      </c>
      <c r="L15" s="10" t="s">
        <v>55</v>
      </c>
      <c r="M15" s="10" t="s">
        <v>55</v>
      </c>
      <c r="N15" s="10" t="s">
        <v>55</v>
      </c>
      <c r="O15" s="10" t="s">
        <v>55</v>
      </c>
      <c r="P15" s="10" t="s">
        <v>55</v>
      </c>
      <c r="Q15" s="10" t="s">
        <v>55</v>
      </c>
      <c r="R15" s="10" t="s">
        <v>55</v>
      </c>
      <c r="S15" s="10" t="s">
        <v>55</v>
      </c>
      <c r="T15" s="10" t="s">
        <v>55</v>
      </c>
      <c r="U15" s="10" t="s">
        <v>55</v>
      </c>
      <c r="V15" s="10" t="s">
        <v>55</v>
      </c>
      <c r="W15" s="10" t="s">
        <v>55</v>
      </c>
      <c r="X15" s="10" t="s">
        <v>55</v>
      </c>
      <c r="Y15" s="10" t="s">
        <v>55</v>
      </c>
      <c r="Z15" s="10" t="s">
        <v>55</v>
      </c>
      <c r="AA15" s="10" t="s">
        <v>55</v>
      </c>
      <c r="AB15" s="10" t="s">
        <v>55</v>
      </c>
      <c r="AC15" s="10" t="s">
        <v>55</v>
      </c>
      <c r="AD15" s="10" t="s">
        <v>55</v>
      </c>
      <c r="AE15" s="10" t="s">
        <v>55</v>
      </c>
      <c r="AF15" s="10" t="s">
        <v>55</v>
      </c>
      <c r="AG15" s="10" t="s">
        <v>55</v>
      </c>
      <c r="AH15" s="10" t="s">
        <v>55</v>
      </c>
      <c r="AI15" s="10" t="s">
        <v>55</v>
      </c>
    </row>
    <row r="16" spans="1:35" x14ac:dyDescent="0.3">
      <c r="A16" s="10" t="s">
        <v>49</v>
      </c>
      <c r="B16" s="11" t="str">
        <f>VLOOKUP(Ecotox_Table[[#This Row],[Marker name]],BaseInfos_Table[],3,FALSE)</f>
        <v>n.a.</v>
      </c>
      <c r="C16" s="10" t="s">
        <v>55</v>
      </c>
      <c r="D16" s="10" t="s">
        <v>55</v>
      </c>
      <c r="E16" s="10" t="s">
        <v>55</v>
      </c>
      <c r="F16" s="10" t="s">
        <v>55</v>
      </c>
      <c r="G16" s="10" t="s">
        <v>55</v>
      </c>
      <c r="H16" s="10" t="s">
        <v>55</v>
      </c>
      <c r="I16" s="10" t="s">
        <v>55</v>
      </c>
      <c r="J16" s="10" t="s">
        <v>55</v>
      </c>
      <c r="K16" s="10" t="s">
        <v>55</v>
      </c>
      <c r="L16" s="10" t="s">
        <v>55</v>
      </c>
      <c r="M16" s="10" t="s">
        <v>55</v>
      </c>
      <c r="N16" s="10" t="s">
        <v>55</v>
      </c>
      <c r="O16" s="10" t="s">
        <v>55</v>
      </c>
      <c r="P16" s="10" t="s">
        <v>55</v>
      </c>
      <c r="Q16" s="10" t="s">
        <v>55</v>
      </c>
      <c r="R16" s="10" t="s">
        <v>55</v>
      </c>
      <c r="S16" s="10" t="s">
        <v>55</v>
      </c>
      <c r="T16" s="10" t="s">
        <v>55</v>
      </c>
      <c r="U16" s="10" t="s">
        <v>55</v>
      </c>
      <c r="V16" s="10" t="s">
        <v>55</v>
      </c>
      <c r="W16" s="10" t="s">
        <v>55</v>
      </c>
      <c r="X16" s="10" t="s">
        <v>55</v>
      </c>
      <c r="Y16" s="10" t="s">
        <v>55</v>
      </c>
      <c r="Z16" s="10" t="s">
        <v>55</v>
      </c>
      <c r="AA16" s="10" t="s">
        <v>55</v>
      </c>
      <c r="AB16" s="10" t="s">
        <v>55</v>
      </c>
      <c r="AC16" s="10" t="s">
        <v>55</v>
      </c>
      <c r="AD16" s="10" t="s">
        <v>55</v>
      </c>
      <c r="AE16" s="10" t="s">
        <v>55</v>
      </c>
      <c r="AF16" s="10" t="s">
        <v>55</v>
      </c>
      <c r="AG16" s="10" t="s">
        <v>55</v>
      </c>
      <c r="AH16" s="10" t="s">
        <v>55</v>
      </c>
      <c r="AI16" s="10" t="s">
        <v>55</v>
      </c>
    </row>
    <row r="17" spans="1:35" x14ac:dyDescent="0.3">
      <c r="A17" s="10" t="s">
        <v>56</v>
      </c>
      <c r="B17" s="11" t="str">
        <f>VLOOKUP(Ecotox_Table[[#This Row],[Marker name]],BaseInfos_Table[],3,FALSE)</f>
        <v>1047-16-1</v>
      </c>
      <c r="C17" s="10" t="s">
        <v>77</v>
      </c>
      <c r="D17" s="10" t="s">
        <v>77</v>
      </c>
      <c r="E17" s="10" t="s">
        <v>77</v>
      </c>
      <c r="F17" s="10" t="s">
        <v>77</v>
      </c>
      <c r="G17" s="10" t="s">
        <v>77</v>
      </c>
      <c r="H17" s="10" t="s">
        <v>77</v>
      </c>
      <c r="I17" s="10" t="s">
        <v>77</v>
      </c>
      <c r="J17" s="10" t="s">
        <v>77</v>
      </c>
      <c r="K17" s="10" t="s">
        <v>108</v>
      </c>
      <c r="L17" s="10" t="s">
        <v>108</v>
      </c>
      <c r="M17" s="10" t="s">
        <v>681</v>
      </c>
      <c r="N17" s="10" t="s">
        <v>108</v>
      </c>
      <c r="O17" s="10" t="s">
        <v>108</v>
      </c>
      <c r="P17" s="10" t="s">
        <v>108</v>
      </c>
      <c r="Q17" s="10" t="s">
        <v>109</v>
      </c>
      <c r="R17" s="10" t="s">
        <v>109</v>
      </c>
      <c r="S17" s="10" t="s">
        <v>109</v>
      </c>
      <c r="T17" s="10" t="s">
        <v>109</v>
      </c>
      <c r="U17" s="10" t="s">
        <v>55</v>
      </c>
      <c r="V17" s="10" t="s">
        <v>109</v>
      </c>
      <c r="W17" s="10" t="s">
        <v>109</v>
      </c>
      <c r="X17" s="10" t="s">
        <v>55</v>
      </c>
      <c r="Y17" s="10" t="s">
        <v>55</v>
      </c>
      <c r="Z17" s="10" t="s">
        <v>108</v>
      </c>
      <c r="AA17" s="10" t="s">
        <v>84</v>
      </c>
      <c r="AB17" s="10" t="s">
        <v>55</v>
      </c>
      <c r="AC17" s="10" t="s">
        <v>84</v>
      </c>
      <c r="AD17" s="10" t="s">
        <v>84</v>
      </c>
      <c r="AE17" s="10" t="s">
        <v>84</v>
      </c>
      <c r="AF17" s="10" t="s">
        <v>55</v>
      </c>
      <c r="AG17" s="10" t="s">
        <v>55</v>
      </c>
      <c r="AH17" s="10" t="s">
        <v>55</v>
      </c>
      <c r="AI17" s="10" t="s">
        <v>55</v>
      </c>
    </row>
    <row r="18" spans="1:35" x14ac:dyDescent="0.3">
      <c r="A18" s="10" t="s">
        <v>54</v>
      </c>
      <c r="B18" s="11" t="str">
        <f>VLOOKUP(Ecotox_Table[[#This Row],[Marker name]],BaseInfos_Table[],3,FALSE)</f>
        <v>128-69-8</v>
      </c>
      <c r="C18" s="10" t="s">
        <v>77</v>
      </c>
      <c r="D18" s="10" t="s">
        <v>77</v>
      </c>
      <c r="E18" s="10" t="s">
        <v>77</v>
      </c>
      <c r="F18" s="10" t="s">
        <v>77</v>
      </c>
      <c r="G18" s="10" t="s">
        <v>77</v>
      </c>
      <c r="H18" s="10" t="s">
        <v>77</v>
      </c>
      <c r="I18" s="10" t="s">
        <v>77</v>
      </c>
      <c r="J18" s="10" t="s">
        <v>77</v>
      </c>
      <c r="K18" s="10" t="s">
        <v>108</v>
      </c>
      <c r="L18" s="10" t="s">
        <v>108</v>
      </c>
      <c r="M18" s="10" t="s">
        <v>84</v>
      </c>
      <c r="N18" s="10" t="s">
        <v>84</v>
      </c>
      <c r="O18" s="10" t="s">
        <v>108</v>
      </c>
      <c r="P18" s="10" t="s">
        <v>108</v>
      </c>
      <c r="Q18" s="10" t="s">
        <v>84</v>
      </c>
      <c r="R18" s="10" t="s">
        <v>84</v>
      </c>
      <c r="S18" s="10" t="s">
        <v>109</v>
      </c>
      <c r="T18" s="10" t="s">
        <v>682</v>
      </c>
      <c r="U18" s="10" t="s">
        <v>683</v>
      </c>
      <c r="V18" s="10" t="s">
        <v>55</v>
      </c>
      <c r="W18" s="10">
        <v>6287000</v>
      </c>
      <c r="X18" s="10" t="s">
        <v>55</v>
      </c>
      <c r="Y18" s="10" t="s">
        <v>55</v>
      </c>
      <c r="Z18" s="10" t="s">
        <v>55</v>
      </c>
      <c r="AA18" s="10">
        <v>1000000</v>
      </c>
      <c r="AB18" s="10" t="s">
        <v>84</v>
      </c>
      <c r="AC18" s="10" t="s">
        <v>84</v>
      </c>
      <c r="AD18" s="10" t="s">
        <v>84</v>
      </c>
      <c r="AE18" s="10" t="s">
        <v>55</v>
      </c>
      <c r="AF18" s="10" t="s">
        <v>55</v>
      </c>
      <c r="AG18" s="10" t="s">
        <v>55</v>
      </c>
      <c r="AH18" s="10" t="s">
        <v>55</v>
      </c>
      <c r="AI18" s="10" t="s">
        <v>55</v>
      </c>
    </row>
    <row r="19" spans="1:35" x14ac:dyDescent="0.3">
      <c r="A19" s="10" t="s">
        <v>373</v>
      </c>
      <c r="B19" s="11" t="str">
        <f>VLOOKUP(Ecotox_Table[[#This Row],[Marker name]],BaseInfos_Table[],3,FALSE)</f>
        <v xml:space="preserve">3326-32-7 </v>
      </c>
      <c r="C19" s="10" t="s">
        <v>55</v>
      </c>
      <c r="D19" s="10" t="s">
        <v>55</v>
      </c>
      <c r="E19" s="10" t="s">
        <v>55</v>
      </c>
      <c r="F19" s="10" t="s">
        <v>55</v>
      </c>
      <c r="G19" s="10" t="s">
        <v>55</v>
      </c>
      <c r="H19" s="10" t="s">
        <v>55</v>
      </c>
      <c r="I19" s="10" t="s">
        <v>55</v>
      </c>
      <c r="J19" s="10" t="s">
        <v>55</v>
      </c>
      <c r="K19" s="10" t="s">
        <v>55</v>
      </c>
      <c r="L19" s="10" t="s">
        <v>55</v>
      </c>
      <c r="M19" s="10" t="s">
        <v>55</v>
      </c>
      <c r="N19" s="10" t="s">
        <v>55</v>
      </c>
      <c r="O19" s="10" t="s">
        <v>55</v>
      </c>
      <c r="P19" s="10" t="s">
        <v>55</v>
      </c>
      <c r="Q19" s="10" t="s">
        <v>55</v>
      </c>
      <c r="R19" s="10" t="s">
        <v>55</v>
      </c>
      <c r="S19" s="10" t="s">
        <v>55</v>
      </c>
      <c r="T19" s="10" t="s">
        <v>55</v>
      </c>
      <c r="U19" s="10" t="s">
        <v>55</v>
      </c>
      <c r="V19" s="10" t="s">
        <v>55</v>
      </c>
      <c r="W19" s="10" t="s">
        <v>55</v>
      </c>
      <c r="X19" s="10" t="s">
        <v>55</v>
      </c>
      <c r="Y19" s="10" t="s">
        <v>55</v>
      </c>
      <c r="Z19" s="10" t="s">
        <v>55</v>
      </c>
      <c r="AA19" s="10" t="s">
        <v>55</v>
      </c>
      <c r="AB19" s="10" t="s">
        <v>55</v>
      </c>
      <c r="AC19" s="10" t="s">
        <v>55</v>
      </c>
      <c r="AD19" s="10" t="s">
        <v>55</v>
      </c>
      <c r="AE19" s="10" t="s">
        <v>55</v>
      </c>
      <c r="AF19" s="10" t="s">
        <v>55</v>
      </c>
      <c r="AG19" s="10" t="s">
        <v>55</v>
      </c>
      <c r="AH19" s="10" t="s">
        <v>55</v>
      </c>
      <c r="AI19" s="10" t="s">
        <v>55</v>
      </c>
    </row>
    <row r="20" spans="1:35" x14ac:dyDescent="0.3">
      <c r="A20" s="10" t="s">
        <v>234</v>
      </c>
      <c r="B20" s="11" t="str">
        <f>VLOOKUP(Ecotox_Table[[#This Row],[Marker name]],BaseInfos_Table[],3,FALSE)</f>
        <v>3599-32-4</v>
      </c>
      <c r="C20" s="10" t="s">
        <v>55</v>
      </c>
      <c r="D20" s="10" t="s">
        <v>55</v>
      </c>
      <c r="E20" s="10" t="s">
        <v>55</v>
      </c>
      <c r="F20" s="10" t="s">
        <v>55</v>
      </c>
      <c r="G20" s="10" t="s">
        <v>55</v>
      </c>
      <c r="H20" s="10" t="s">
        <v>55</v>
      </c>
      <c r="I20" s="10" t="s">
        <v>55</v>
      </c>
      <c r="J20" s="10" t="s">
        <v>55</v>
      </c>
      <c r="K20" s="10" t="s">
        <v>55</v>
      </c>
      <c r="L20" s="10" t="s">
        <v>55</v>
      </c>
      <c r="M20" s="10" t="s">
        <v>55</v>
      </c>
      <c r="N20" s="10" t="s">
        <v>55</v>
      </c>
      <c r="O20" s="10" t="s">
        <v>55</v>
      </c>
      <c r="P20" s="10" t="s">
        <v>55</v>
      </c>
      <c r="Q20" s="10" t="s">
        <v>55</v>
      </c>
      <c r="R20" s="10" t="s">
        <v>55</v>
      </c>
      <c r="S20" s="10" t="s">
        <v>55</v>
      </c>
      <c r="T20" s="10" t="s">
        <v>55</v>
      </c>
      <c r="U20" s="10" t="s">
        <v>55</v>
      </c>
      <c r="V20" s="10" t="s">
        <v>55</v>
      </c>
      <c r="W20" s="10" t="s">
        <v>55</v>
      </c>
      <c r="X20" s="10" t="s">
        <v>55</v>
      </c>
      <c r="Y20" s="10" t="s">
        <v>55</v>
      </c>
      <c r="Z20" s="10" t="s">
        <v>55</v>
      </c>
      <c r="AA20" s="10" t="s">
        <v>55</v>
      </c>
      <c r="AB20" s="10" t="s">
        <v>55</v>
      </c>
      <c r="AC20" s="10" t="s">
        <v>55</v>
      </c>
      <c r="AD20" s="10" t="s">
        <v>55</v>
      </c>
      <c r="AE20" s="10" t="s">
        <v>55</v>
      </c>
      <c r="AF20" s="10" t="s">
        <v>55</v>
      </c>
      <c r="AG20" s="10" t="s">
        <v>55</v>
      </c>
      <c r="AH20" s="10" t="s">
        <v>55</v>
      </c>
      <c r="AI20" s="10" t="s">
        <v>55</v>
      </c>
    </row>
    <row r="21" spans="1:35" x14ac:dyDescent="0.3">
      <c r="A21" s="10" t="s">
        <v>235</v>
      </c>
      <c r="B21" s="11" t="str">
        <f>VLOOKUP(Ecotox_Table[[#This Row],[Marker name]],BaseInfos_Table[],3,FALSE)</f>
        <v>61-73-4</v>
      </c>
      <c r="C21" s="10" t="s">
        <v>623</v>
      </c>
      <c r="D21" s="10" t="s">
        <v>623</v>
      </c>
      <c r="E21" s="10" t="s">
        <v>623</v>
      </c>
      <c r="F21" s="10" t="s">
        <v>623</v>
      </c>
      <c r="G21" s="10" t="s">
        <v>623</v>
      </c>
      <c r="H21" s="10" t="s">
        <v>623</v>
      </c>
      <c r="I21" s="10" t="s">
        <v>623</v>
      </c>
      <c r="J21" s="10" t="s">
        <v>623</v>
      </c>
      <c r="K21" s="10" t="s">
        <v>623</v>
      </c>
      <c r="L21" s="10" t="s">
        <v>623</v>
      </c>
      <c r="M21" s="10" t="s">
        <v>623</v>
      </c>
      <c r="N21" s="10" t="s">
        <v>623</v>
      </c>
      <c r="O21" s="10" t="s">
        <v>623</v>
      </c>
      <c r="P21" s="10" t="s">
        <v>623</v>
      </c>
      <c r="Q21" s="10" t="s">
        <v>623</v>
      </c>
      <c r="R21" s="10" t="s">
        <v>623</v>
      </c>
      <c r="S21" s="10" t="s">
        <v>623</v>
      </c>
      <c r="T21" s="10" t="s">
        <v>623</v>
      </c>
      <c r="U21" s="10" t="s">
        <v>623</v>
      </c>
      <c r="V21" s="10" t="s">
        <v>623</v>
      </c>
      <c r="W21" s="10" t="s">
        <v>623</v>
      </c>
      <c r="X21" s="10" t="s">
        <v>623</v>
      </c>
      <c r="Y21" s="10" t="s">
        <v>623</v>
      </c>
      <c r="Z21" s="10" t="s">
        <v>623</v>
      </c>
      <c r="AA21" s="10" t="s">
        <v>623</v>
      </c>
      <c r="AB21" s="10" t="s">
        <v>623</v>
      </c>
      <c r="AC21" s="10" t="s">
        <v>623</v>
      </c>
      <c r="AD21" s="10" t="s">
        <v>623</v>
      </c>
      <c r="AE21" s="10" t="s">
        <v>623</v>
      </c>
      <c r="AF21" s="10" t="s">
        <v>623</v>
      </c>
      <c r="AG21" s="10" t="s">
        <v>623</v>
      </c>
      <c r="AH21" s="10" t="s">
        <v>623</v>
      </c>
      <c r="AI21" s="10" t="s">
        <v>623</v>
      </c>
    </row>
    <row r="22" spans="1:35" x14ac:dyDescent="0.3">
      <c r="A22" s="10" t="s">
        <v>250</v>
      </c>
      <c r="B22" s="11" t="str">
        <f>VLOOKUP(Ecotox_Table[[#This Row],[Marker name]],BaseInfos_Table[],3,FALSE)</f>
        <v>308068-56-6</v>
      </c>
      <c r="C22" s="10" t="s">
        <v>77</v>
      </c>
      <c r="D22" s="10" t="s">
        <v>77</v>
      </c>
      <c r="E22" s="10" t="s">
        <v>84</v>
      </c>
      <c r="F22" s="10" t="s">
        <v>77</v>
      </c>
      <c r="G22" s="10" t="s">
        <v>77</v>
      </c>
      <c r="H22" s="10" t="s">
        <v>77</v>
      </c>
      <c r="I22" s="10" t="s">
        <v>77</v>
      </c>
      <c r="J22" s="10" t="s">
        <v>77</v>
      </c>
      <c r="K22" s="10" t="s">
        <v>84</v>
      </c>
      <c r="L22" s="10" t="s">
        <v>84</v>
      </c>
      <c r="M22" s="10" t="s">
        <v>55</v>
      </c>
      <c r="N22" s="10" t="s">
        <v>55</v>
      </c>
      <c r="O22" s="10" t="s">
        <v>109</v>
      </c>
      <c r="P22" s="10" t="s">
        <v>109</v>
      </c>
      <c r="Q22" s="10" t="s">
        <v>55</v>
      </c>
      <c r="R22" s="10" t="s">
        <v>55</v>
      </c>
      <c r="S22" s="10" t="s">
        <v>109</v>
      </c>
      <c r="T22" s="10" t="s">
        <v>109</v>
      </c>
      <c r="U22" s="10" t="s">
        <v>55</v>
      </c>
      <c r="V22" s="10" t="s">
        <v>255</v>
      </c>
      <c r="W22" s="10" t="s">
        <v>55</v>
      </c>
      <c r="X22" s="10" t="s">
        <v>55</v>
      </c>
      <c r="Y22" s="10" t="s">
        <v>55</v>
      </c>
      <c r="Z22" s="10" t="s">
        <v>55</v>
      </c>
      <c r="AA22" s="10" t="s">
        <v>55</v>
      </c>
      <c r="AB22" s="10" t="s">
        <v>55</v>
      </c>
      <c r="AC22" s="10" t="s">
        <v>55</v>
      </c>
      <c r="AD22" s="10" t="s">
        <v>55</v>
      </c>
      <c r="AE22" s="10" t="s">
        <v>55</v>
      </c>
      <c r="AF22" s="10" t="s">
        <v>55</v>
      </c>
      <c r="AG22" s="10" t="s">
        <v>55</v>
      </c>
      <c r="AH22" s="10" t="s">
        <v>55</v>
      </c>
      <c r="AI22" s="10" t="s">
        <v>55</v>
      </c>
    </row>
    <row r="23" spans="1:35" x14ac:dyDescent="0.3">
      <c r="A23" s="10" t="s">
        <v>260</v>
      </c>
      <c r="B23" s="11" t="str">
        <f>VLOOKUP(Ecotox_Table[[#This Row],[Marker name]],BaseInfos_Table[],3,FALSE)</f>
        <v>199444-11-6</v>
      </c>
      <c r="C23" s="10" t="s">
        <v>55</v>
      </c>
      <c r="D23" s="10" t="s">
        <v>55</v>
      </c>
      <c r="E23" s="10" t="s">
        <v>55</v>
      </c>
      <c r="F23" s="10" t="s">
        <v>55</v>
      </c>
      <c r="G23" s="10" t="s">
        <v>55</v>
      </c>
      <c r="H23" s="10" t="s">
        <v>55</v>
      </c>
      <c r="I23" s="10" t="s">
        <v>55</v>
      </c>
      <c r="J23" s="10" t="s">
        <v>55</v>
      </c>
      <c r="K23" s="10" t="s">
        <v>55</v>
      </c>
      <c r="L23" s="10" t="s">
        <v>55</v>
      </c>
      <c r="M23" s="10" t="s">
        <v>55</v>
      </c>
      <c r="N23" s="10" t="s">
        <v>55</v>
      </c>
      <c r="O23" s="10" t="s">
        <v>55</v>
      </c>
      <c r="P23" s="10" t="s">
        <v>55</v>
      </c>
      <c r="Q23" s="10" t="s">
        <v>55</v>
      </c>
      <c r="R23" s="10" t="s">
        <v>55</v>
      </c>
      <c r="S23" s="10" t="s">
        <v>55</v>
      </c>
      <c r="T23" s="10" t="s">
        <v>55</v>
      </c>
      <c r="U23" s="10" t="s">
        <v>55</v>
      </c>
      <c r="V23" s="10" t="s">
        <v>55</v>
      </c>
      <c r="W23" s="10" t="s">
        <v>55</v>
      </c>
      <c r="X23" s="10" t="s">
        <v>55</v>
      </c>
      <c r="Y23" s="10" t="s">
        <v>55</v>
      </c>
      <c r="Z23" s="10" t="s">
        <v>55</v>
      </c>
      <c r="AA23" s="10" t="s">
        <v>55</v>
      </c>
      <c r="AB23" s="10" t="s">
        <v>55</v>
      </c>
      <c r="AC23" s="10" t="s">
        <v>55</v>
      </c>
      <c r="AD23" s="10" t="s">
        <v>55</v>
      </c>
      <c r="AE23" s="10" t="s">
        <v>55</v>
      </c>
      <c r="AF23" s="10" t="s">
        <v>55</v>
      </c>
      <c r="AG23" s="10" t="s">
        <v>55</v>
      </c>
      <c r="AH23" s="10" t="s">
        <v>55</v>
      </c>
      <c r="AI23" s="10" t="s">
        <v>55</v>
      </c>
    </row>
    <row r="24" spans="1:35" x14ac:dyDescent="0.3">
      <c r="A24" s="10" t="s">
        <v>264</v>
      </c>
      <c r="B24" s="11" t="str">
        <f>VLOOKUP(Ecotox_Table[[#This Row],[Marker name]],BaseInfos_Table[],3,FALSE)</f>
        <v>207399-07-3</v>
      </c>
      <c r="C24" s="10" t="s">
        <v>55</v>
      </c>
      <c r="D24" s="10" t="s">
        <v>55</v>
      </c>
      <c r="E24" s="10" t="s">
        <v>55</v>
      </c>
      <c r="F24" s="10" t="s">
        <v>55</v>
      </c>
      <c r="G24" s="10" t="s">
        <v>55</v>
      </c>
      <c r="H24" s="10" t="s">
        <v>55</v>
      </c>
      <c r="I24" s="10" t="s">
        <v>55</v>
      </c>
      <c r="J24" s="10" t="s">
        <v>55</v>
      </c>
      <c r="K24" s="10" t="s">
        <v>55</v>
      </c>
      <c r="L24" s="10" t="s">
        <v>55</v>
      </c>
      <c r="M24" s="10" t="s">
        <v>55</v>
      </c>
      <c r="N24" s="10" t="s">
        <v>55</v>
      </c>
      <c r="O24" s="10" t="s">
        <v>55</v>
      </c>
      <c r="P24" s="10" t="s">
        <v>55</v>
      </c>
      <c r="Q24" s="10" t="s">
        <v>55</v>
      </c>
      <c r="R24" s="10" t="s">
        <v>55</v>
      </c>
      <c r="S24" s="10" t="s">
        <v>55</v>
      </c>
      <c r="T24" s="10" t="s">
        <v>55</v>
      </c>
      <c r="U24" s="10" t="s">
        <v>55</v>
      </c>
      <c r="V24" s="10" t="s">
        <v>55</v>
      </c>
      <c r="W24" s="10" t="s">
        <v>55</v>
      </c>
      <c r="X24" s="10" t="s">
        <v>55</v>
      </c>
      <c r="Y24" s="10" t="s">
        <v>55</v>
      </c>
      <c r="Z24" s="10" t="s">
        <v>55</v>
      </c>
      <c r="AA24" s="10" t="s">
        <v>55</v>
      </c>
      <c r="AB24" s="10" t="s">
        <v>55</v>
      </c>
      <c r="AC24" s="10" t="s">
        <v>55</v>
      </c>
      <c r="AD24" s="10" t="s">
        <v>55</v>
      </c>
      <c r="AE24" s="10" t="s">
        <v>55</v>
      </c>
      <c r="AF24" s="10" t="s">
        <v>55</v>
      </c>
      <c r="AG24" s="10" t="s">
        <v>55</v>
      </c>
      <c r="AH24" s="10" t="s">
        <v>55</v>
      </c>
      <c r="AI24" s="10" t="s">
        <v>55</v>
      </c>
    </row>
    <row r="25" spans="1:35" x14ac:dyDescent="0.3">
      <c r="A25" s="10" t="s">
        <v>267</v>
      </c>
      <c r="B25" s="11" t="str">
        <f>VLOOKUP(Ecotox_Table[[#This Row],[Marker name]],BaseInfos_Table[],3,FALSE)</f>
        <v>115970-66-6</v>
      </c>
      <c r="C25" s="10" t="s">
        <v>55</v>
      </c>
      <c r="D25" s="10" t="s">
        <v>55</v>
      </c>
      <c r="E25" s="10" t="s">
        <v>55</v>
      </c>
      <c r="F25" s="10" t="s">
        <v>55</v>
      </c>
      <c r="G25" s="10" t="s">
        <v>55</v>
      </c>
      <c r="H25" s="10" t="s">
        <v>55</v>
      </c>
      <c r="I25" s="10" t="s">
        <v>55</v>
      </c>
      <c r="J25" s="10" t="s">
        <v>55</v>
      </c>
      <c r="K25" s="10" t="s">
        <v>55</v>
      </c>
      <c r="L25" s="10" t="s">
        <v>55</v>
      </c>
      <c r="M25" s="10" t="s">
        <v>55</v>
      </c>
      <c r="N25" s="10" t="s">
        <v>55</v>
      </c>
      <c r="O25" s="10" t="s">
        <v>55</v>
      </c>
      <c r="P25" s="10" t="s">
        <v>55</v>
      </c>
      <c r="Q25" s="10" t="s">
        <v>55</v>
      </c>
      <c r="R25" s="10" t="s">
        <v>55</v>
      </c>
      <c r="S25" s="10" t="s">
        <v>55</v>
      </c>
      <c r="T25" s="10" t="s">
        <v>55</v>
      </c>
      <c r="U25" s="10" t="s">
        <v>55</v>
      </c>
      <c r="V25" s="10" t="s">
        <v>55</v>
      </c>
      <c r="W25" s="10" t="s">
        <v>55</v>
      </c>
      <c r="X25" s="10" t="s">
        <v>55</v>
      </c>
      <c r="Y25" s="10" t="s">
        <v>55</v>
      </c>
      <c r="Z25" s="10" t="s">
        <v>55</v>
      </c>
      <c r="AA25" s="10" t="s">
        <v>55</v>
      </c>
      <c r="AB25" s="10" t="s">
        <v>55</v>
      </c>
      <c r="AC25" s="10" t="s">
        <v>55</v>
      </c>
      <c r="AD25" s="10" t="s">
        <v>55</v>
      </c>
      <c r="AE25" s="10" t="s">
        <v>55</v>
      </c>
      <c r="AF25" s="10" t="s">
        <v>55</v>
      </c>
      <c r="AG25" s="10" t="s">
        <v>55</v>
      </c>
      <c r="AH25" s="10" t="s">
        <v>55</v>
      </c>
      <c r="AI25" s="10" t="s">
        <v>55</v>
      </c>
    </row>
    <row r="26" spans="1:35" x14ac:dyDescent="0.3">
      <c r="A26" s="10" t="s">
        <v>269</v>
      </c>
      <c r="B26" s="11" t="str">
        <f>VLOOKUP(Ecotox_Table[[#This Row],[Marker name]],BaseInfos_Table[],3,FALSE)</f>
        <v>110992-55-7</v>
      </c>
      <c r="C26" s="10" t="s">
        <v>55</v>
      </c>
      <c r="D26" s="10" t="s">
        <v>55</v>
      </c>
      <c r="E26" s="10" t="s">
        <v>55</v>
      </c>
      <c r="F26" s="10" t="s">
        <v>55</v>
      </c>
      <c r="G26" s="10" t="s">
        <v>55</v>
      </c>
      <c r="H26" s="10" t="s">
        <v>55</v>
      </c>
      <c r="I26" s="10" t="s">
        <v>55</v>
      </c>
      <c r="J26" s="10" t="s">
        <v>55</v>
      </c>
      <c r="K26" s="10" t="s">
        <v>55</v>
      </c>
      <c r="L26" s="10" t="s">
        <v>55</v>
      </c>
      <c r="M26" s="10" t="s">
        <v>55</v>
      </c>
      <c r="N26" s="10" t="s">
        <v>55</v>
      </c>
      <c r="O26" s="10" t="s">
        <v>55</v>
      </c>
      <c r="P26" s="10" t="s">
        <v>55</v>
      </c>
      <c r="Q26" s="10" t="s">
        <v>55</v>
      </c>
      <c r="R26" s="10" t="s">
        <v>55</v>
      </c>
      <c r="S26" s="10" t="s">
        <v>55</v>
      </c>
      <c r="T26" s="10" t="s">
        <v>55</v>
      </c>
      <c r="U26" s="10" t="s">
        <v>55</v>
      </c>
      <c r="V26" s="10" t="s">
        <v>55</v>
      </c>
      <c r="W26" s="10" t="s">
        <v>55</v>
      </c>
      <c r="X26" s="10" t="s">
        <v>55</v>
      </c>
      <c r="Y26" s="10" t="s">
        <v>55</v>
      </c>
      <c r="Z26" s="10" t="s">
        <v>55</v>
      </c>
      <c r="AA26" s="10" t="s">
        <v>55</v>
      </c>
      <c r="AB26" s="10" t="s">
        <v>55</v>
      </c>
      <c r="AC26" s="10" t="s">
        <v>55</v>
      </c>
      <c r="AD26" s="10" t="s">
        <v>55</v>
      </c>
      <c r="AE26" s="10" t="s">
        <v>55</v>
      </c>
      <c r="AF26" s="10" t="s">
        <v>55</v>
      </c>
      <c r="AG26" s="10" t="s">
        <v>55</v>
      </c>
      <c r="AH26" s="10" t="s">
        <v>55</v>
      </c>
      <c r="AI26" s="10" t="s">
        <v>55</v>
      </c>
    </row>
    <row r="27" spans="1:35" x14ac:dyDescent="0.3">
      <c r="A27" s="10" t="s">
        <v>272</v>
      </c>
      <c r="B27" s="11" t="str">
        <f>VLOOKUP(Ecotox_Table[[#This Row],[Marker name]],BaseInfos_Table[],3,FALSE)</f>
        <v>757960-10-4</v>
      </c>
      <c r="C27" s="10" t="s">
        <v>55</v>
      </c>
      <c r="D27" s="10" t="s">
        <v>55</v>
      </c>
      <c r="E27" s="10" t="s">
        <v>55</v>
      </c>
      <c r="F27" s="10" t="s">
        <v>55</v>
      </c>
      <c r="G27" s="10" t="s">
        <v>55</v>
      </c>
      <c r="H27" s="10" t="s">
        <v>55</v>
      </c>
      <c r="I27" s="10" t="s">
        <v>55</v>
      </c>
      <c r="J27" s="10" t="s">
        <v>55</v>
      </c>
      <c r="K27" s="10" t="s">
        <v>55</v>
      </c>
      <c r="L27" s="10" t="s">
        <v>55</v>
      </c>
      <c r="M27" s="10" t="s">
        <v>55</v>
      </c>
      <c r="N27" s="10" t="s">
        <v>55</v>
      </c>
      <c r="O27" s="10" t="s">
        <v>55</v>
      </c>
      <c r="P27" s="10" t="s">
        <v>55</v>
      </c>
      <c r="Q27" s="10" t="s">
        <v>55</v>
      </c>
      <c r="R27" s="10" t="s">
        <v>55</v>
      </c>
      <c r="S27" s="10" t="s">
        <v>55</v>
      </c>
      <c r="T27" s="10" t="s">
        <v>55</v>
      </c>
      <c r="U27" s="10" t="s">
        <v>55</v>
      </c>
      <c r="V27" s="10" t="s">
        <v>55</v>
      </c>
      <c r="W27" s="10" t="s">
        <v>55</v>
      </c>
      <c r="X27" s="10" t="s">
        <v>55</v>
      </c>
      <c r="Y27" s="10" t="s">
        <v>55</v>
      </c>
      <c r="Z27" s="10" t="s">
        <v>55</v>
      </c>
      <c r="AA27" s="10" t="s">
        <v>55</v>
      </c>
      <c r="AB27" s="10" t="s">
        <v>55</v>
      </c>
      <c r="AC27" s="10" t="s">
        <v>55</v>
      </c>
      <c r="AD27" s="10" t="s">
        <v>55</v>
      </c>
      <c r="AE27" s="10" t="s">
        <v>55</v>
      </c>
      <c r="AF27" s="10" t="s">
        <v>55</v>
      </c>
      <c r="AG27" s="10" t="s">
        <v>55</v>
      </c>
      <c r="AH27" s="10" t="s">
        <v>55</v>
      </c>
      <c r="AI27" s="10" t="s">
        <v>55</v>
      </c>
    </row>
    <row r="28" spans="1:35" x14ac:dyDescent="0.3">
      <c r="A28" s="10" t="s">
        <v>280</v>
      </c>
      <c r="B28" s="11" t="str">
        <f>VLOOKUP(Ecotox_Table[[#This Row],[Marker name]],BaseInfos_Table[],3,FALSE)</f>
        <v>1306-25-8</v>
      </c>
      <c r="C28" s="10">
        <v>0.19</v>
      </c>
      <c r="D28" s="10">
        <v>1.1399999999999999</v>
      </c>
      <c r="E28" s="10">
        <v>20</v>
      </c>
      <c r="F28" s="10">
        <v>1.8</v>
      </c>
      <c r="G28" s="10">
        <v>0.64</v>
      </c>
      <c r="H28" s="10" t="s">
        <v>77</v>
      </c>
      <c r="I28" s="10">
        <v>0.9</v>
      </c>
      <c r="K28" s="10" t="s">
        <v>108</v>
      </c>
      <c r="L28" s="10" t="s">
        <v>108</v>
      </c>
      <c r="M28" s="10" t="s">
        <v>84</v>
      </c>
      <c r="N28" s="10" t="s">
        <v>84</v>
      </c>
      <c r="O28" s="10">
        <v>400</v>
      </c>
      <c r="P28" s="10" t="s">
        <v>55</v>
      </c>
      <c r="Q28" s="10">
        <v>250</v>
      </c>
      <c r="R28" s="10" t="s">
        <v>55</v>
      </c>
      <c r="S28" s="10">
        <v>3.1</v>
      </c>
      <c r="T28" s="10">
        <v>0.37</v>
      </c>
      <c r="U28" s="10" t="s">
        <v>55</v>
      </c>
      <c r="V28" s="10">
        <v>1000000</v>
      </c>
      <c r="W28" s="10">
        <v>100000</v>
      </c>
      <c r="X28" s="10" t="s">
        <v>55</v>
      </c>
      <c r="Y28" s="10" t="s">
        <v>55</v>
      </c>
      <c r="Z28" s="10" t="s">
        <v>55</v>
      </c>
      <c r="AA28" s="10" t="s">
        <v>143</v>
      </c>
      <c r="AB28" s="10" t="s">
        <v>143</v>
      </c>
      <c r="AC28" s="10" t="s">
        <v>143</v>
      </c>
      <c r="AD28" s="10" t="s">
        <v>143</v>
      </c>
      <c r="AE28" s="10" t="s">
        <v>55</v>
      </c>
      <c r="AF28" s="10" t="s">
        <v>55</v>
      </c>
      <c r="AG28" s="10" t="s">
        <v>55</v>
      </c>
      <c r="AH28" s="10" t="s">
        <v>55</v>
      </c>
      <c r="AI28" s="10" t="s">
        <v>55</v>
      </c>
    </row>
    <row r="29" spans="1:35" x14ac:dyDescent="0.3">
      <c r="A29" s="10" t="s">
        <v>281</v>
      </c>
      <c r="B29" s="11" t="str">
        <f>VLOOKUP(Ecotox_Table[[#This Row],[Marker name]],BaseInfos_Table[],3,FALSE)</f>
        <v>1314-87-0</v>
      </c>
      <c r="C29" s="10" t="s">
        <v>55</v>
      </c>
      <c r="D29" s="10" t="s">
        <v>55</v>
      </c>
      <c r="E29" s="10" t="s">
        <v>55</v>
      </c>
      <c r="F29" s="10" t="s">
        <v>55</v>
      </c>
      <c r="G29" s="10" t="s">
        <v>55</v>
      </c>
      <c r="H29" s="10" t="s">
        <v>55</v>
      </c>
      <c r="I29" s="10" t="s">
        <v>55</v>
      </c>
      <c r="J29" s="10" t="s">
        <v>55</v>
      </c>
      <c r="K29" s="10" t="s">
        <v>55</v>
      </c>
      <c r="L29" s="10" t="s">
        <v>55</v>
      </c>
      <c r="M29" s="10" t="s">
        <v>55</v>
      </c>
      <c r="N29" s="10" t="s">
        <v>55</v>
      </c>
      <c r="O29" s="10" t="s">
        <v>83</v>
      </c>
      <c r="P29" s="10" t="s">
        <v>83</v>
      </c>
      <c r="Q29" s="10" t="s">
        <v>55</v>
      </c>
      <c r="R29" s="10" t="s">
        <v>55</v>
      </c>
      <c r="S29" s="10" t="s">
        <v>55</v>
      </c>
      <c r="T29" s="10" t="s">
        <v>55</v>
      </c>
      <c r="U29" s="10" t="s">
        <v>55</v>
      </c>
      <c r="V29" s="10" t="s">
        <v>55</v>
      </c>
      <c r="W29" s="10" t="s">
        <v>55</v>
      </c>
      <c r="X29" s="10" t="s">
        <v>55</v>
      </c>
      <c r="Y29" s="10" t="s">
        <v>55</v>
      </c>
      <c r="Z29" s="10" t="s">
        <v>55</v>
      </c>
      <c r="AA29" s="10" t="s">
        <v>143</v>
      </c>
      <c r="AB29" s="10" t="s">
        <v>55</v>
      </c>
      <c r="AC29" s="10" t="s">
        <v>55</v>
      </c>
      <c r="AD29" s="10" t="s">
        <v>55</v>
      </c>
      <c r="AE29" s="10" t="s">
        <v>55</v>
      </c>
      <c r="AF29" s="10" t="s">
        <v>55</v>
      </c>
      <c r="AG29" s="10" t="s">
        <v>55</v>
      </c>
      <c r="AH29" s="10" t="s">
        <v>55</v>
      </c>
      <c r="AI29" s="10" t="s">
        <v>55</v>
      </c>
    </row>
    <row r="30" spans="1:35" x14ac:dyDescent="0.3">
      <c r="A30" s="10" t="s">
        <v>691</v>
      </c>
      <c r="B30" s="11" t="str">
        <f>VLOOKUP(Ecotox_Table[[#This Row],[Marker name]],BaseInfos_Table[],3,FALSE)</f>
        <v>1312-81-8</v>
      </c>
      <c r="C30" s="10">
        <v>10000</v>
      </c>
      <c r="D30" s="10">
        <v>1000</v>
      </c>
      <c r="E30" s="10">
        <v>100000</v>
      </c>
      <c r="F30" s="10">
        <v>15500</v>
      </c>
      <c r="G30" s="10">
        <v>15500</v>
      </c>
      <c r="H30" s="10" t="s">
        <v>77</v>
      </c>
      <c r="I30" s="10">
        <v>18.899999999999999</v>
      </c>
      <c r="J30" s="10">
        <v>156</v>
      </c>
      <c r="K30" s="10" t="s">
        <v>108</v>
      </c>
      <c r="L30" s="10" t="s">
        <v>108</v>
      </c>
      <c r="M30" s="10" t="s">
        <v>624</v>
      </c>
      <c r="N30" s="10" t="s">
        <v>624</v>
      </c>
      <c r="O30" s="10" t="s">
        <v>108</v>
      </c>
      <c r="P30" s="10" t="s">
        <v>108</v>
      </c>
      <c r="Q30" s="10" t="s">
        <v>108</v>
      </c>
      <c r="R30" s="10" t="s">
        <v>108</v>
      </c>
      <c r="S30" s="10">
        <v>16000</v>
      </c>
      <c r="T30" s="10">
        <v>13000</v>
      </c>
      <c r="U30" s="10" t="s">
        <v>109</v>
      </c>
      <c r="V30" s="10">
        <v>304000</v>
      </c>
      <c r="W30" s="10">
        <v>82000</v>
      </c>
      <c r="X30" s="10" t="s">
        <v>55</v>
      </c>
      <c r="Y30" s="10" t="s">
        <v>55</v>
      </c>
      <c r="Z30" s="10">
        <v>1545</v>
      </c>
      <c r="AA30" s="10" t="s">
        <v>143</v>
      </c>
      <c r="AB30" s="10" t="s">
        <v>626</v>
      </c>
      <c r="AC30" s="10" t="s">
        <v>627</v>
      </c>
      <c r="AD30" s="10" t="s">
        <v>628</v>
      </c>
      <c r="AE30" s="10" t="s">
        <v>55</v>
      </c>
      <c r="AF30" s="10" t="s">
        <v>55</v>
      </c>
      <c r="AG30" s="10" t="s">
        <v>55</v>
      </c>
      <c r="AH30" s="10" t="s">
        <v>55</v>
      </c>
      <c r="AI30" s="10" t="s">
        <v>55</v>
      </c>
    </row>
    <row r="31" spans="1:35" x14ac:dyDescent="0.3">
      <c r="A31" s="10" t="s">
        <v>692</v>
      </c>
      <c r="B31" s="11" t="str">
        <f>VLOOKUP(Ecotox_Table[[#This Row],[Marker name]],BaseInfos_Table[],3,FALSE)</f>
        <v>12037-29-5</v>
      </c>
      <c r="C31" s="10" t="s">
        <v>77</v>
      </c>
      <c r="D31" s="10" t="s">
        <v>77</v>
      </c>
      <c r="E31" s="10" t="s">
        <v>77</v>
      </c>
      <c r="F31" s="10" t="s">
        <v>77</v>
      </c>
      <c r="G31" s="10" t="s">
        <v>77</v>
      </c>
      <c r="H31" s="10" t="s">
        <v>77</v>
      </c>
      <c r="I31" s="10" t="s">
        <v>77</v>
      </c>
      <c r="J31" s="10" t="s">
        <v>55</v>
      </c>
      <c r="K31" s="10" t="s">
        <v>108</v>
      </c>
      <c r="L31" s="10" t="s">
        <v>108</v>
      </c>
      <c r="M31" s="10" t="s">
        <v>84</v>
      </c>
      <c r="N31" s="10" t="s">
        <v>84</v>
      </c>
      <c r="O31" s="10" t="s">
        <v>108</v>
      </c>
      <c r="P31" s="10" t="s">
        <v>680</v>
      </c>
      <c r="Q31" s="10" t="s">
        <v>84</v>
      </c>
      <c r="R31" s="10" t="s">
        <v>84</v>
      </c>
      <c r="S31" s="10">
        <v>100000</v>
      </c>
      <c r="T31" s="10">
        <v>22000</v>
      </c>
      <c r="U31" s="10" t="s">
        <v>55</v>
      </c>
      <c r="V31" s="10" t="s">
        <v>55</v>
      </c>
      <c r="W31" s="10">
        <v>1000000</v>
      </c>
      <c r="X31" s="10" t="s">
        <v>55</v>
      </c>
      <c r="Y31" s="10" t="s">
        <v>55</v>
      </c>
      <c r="Z31" s="10" t="s">
        <v>55</v>
      </c>
      <c r="AA31" s="10" t="s">
        <v>84</v>
      </c>
      <c r="AB31" s="10" t="s">
        <v>84</v>
      </c>
      <c r="AC31" s="10" t="s">
        <v>84</v>
      </c>
      <c r="AD31" s="10" t="s">
        <v>84</v>
      </c>
      <c r="AE31" s="10" t="s">
        <v>55</v>
      </c>
      <c r="AF31" s="10" t="s">
        <v>55</v>
      </c>
      <c r="AG31" s="10" t="s">
        <v>55</v>
      </c>
      <c r="AH31" s="10" t="s">
        <v>55</v>
      </c>
      <c r="AI31" s="10" t="s">
        <v>55</v>
      </c>
    </row>
    <row r="32" spans="1:35" x14ac:dyDescent="0.3">
      <c r="A32" s="10" t="s">
        <v>693</v>
      </c>
      <c r="B32" s="11" t="str">
        <f>VLOOKUP(Ecotox_Table[[#This Row],[Marker name]],BaseInfos_Table[],3,FALSE)</f>
        <v>12061-16-4</v>
      </c>
    </row>
    <row r="33" spans="1:2" x14ac:dyDescent="0.3">
      <c r="A33" s="10" t="s">
        <v>694</v>
      </c>
      <c r="B33" s="11" t="str">
        <f>VLOOKUP(Ecotox_Table[[#This Row],[Marker name]],BaseInfos_Table[],3,FALSE)</f>
        <v>1314-37-0</v>
      </c>
    </row>
    <row r="34" spans="1:2" x14ac:dyDescent="0.3">
      <c r="A34" s="10" t="s">
        <v>695</v>
      </c>
      <c r="B34" s="11" t="str">
        <f>VLOOKUP(Ecotox_Table[[#This Row],[Marker name]],BaseInfos_Table[],3,FALSE)</f>
        <v>68585-82-0</v>
      </c>
    </row>
    <row r="35" spans="1:2" x14ac:dyDescent="0.3">
      <c r="A35" s="10" t="s">
        <v>696</v>
      </c>
      <c r="B35" s="11" t="str">
        <f>VLOOKUP(Ecotox_Table[[#This Row],[Marker name]],BaseInfos_Table[],3,FALSE)</f>
        <v>63774-55-0</v>
      </c>
    </row>
    <row r="36" spans="1:2" x14ac:dyDescent="0.3">
      <c r="A36" s="10" t="s">
        <v>398</v>
      </c>
      <c r="B36" s="11" t="str">
        <f>VLOOKUP(Ecotox_Table[[#This Row],[Marker name]],BaseInfos_Table[],3,FALSE)</f>
        <v>1309-48-4</v>
      </c>
    </row>
    <row r="37" spans="1:2" x14ac:dyDescent="0.3">
      <c r="A37" s="16" t="s">
        <v>697</v>
      </c>
      <c r="B37" s="11" t="str">
        <f>VLOOKUP(Ecotox_Table[[#This Row],[Marker name]],BaseInfos_Table[],3,FALSE)</f>
        <v>12060-58-1</v>
      </c>
    </row>
    <row r="38" spans="1:2" ht="16.5" x14ac:dyDescent="0.3">
      <c r="A38" s="16" t="s">
        <v>698</v>
      </c>
      <c r="B38" s="11" t="str">
        <f>VLOOKUP(Ecotox_Table[[#This Row],[Marker name]],BaseInfos_Table[],3,FALSE)</f>
        <v>68585-83-1</v>
      </c>
    </row>
    <row r="39" spans="1:2" x14ac:dyDescent="0.3">
      <c r="A39" s="16" t="s">
        <v>699</v>
      </c>
      <c r="B39" s="11" t="str">
        <f>VLOOKUP(Ecotox_Table[[#This Row],[Marker name]],BaseInfos_Table[],3,FALSE)</f>
        <v>68609-38-1</v>
      </c>
    </row>
    <row r="40" spans="1:2" ht="16.5" x14ac:dyDescent="0.3">
      <c r="A40" s="16" t="s">
        <v>700</v>
      </c>
      <c r="B40" s="11" t="str">
        <f>VLOOKUP(Ecotox_Table[[#This Row],[Marker name]],BaseInfos_Table[],3,FALSE)</f>
        <v>n.a.</v>
      </c>
    </row>
    <row r="41" spans="1:2" ht="16.5" x14ac:dyDescent="0.3">
      <c r="A41" s="16" t="s">
        <v>701</v>
      </c>
      <c r="B41" s="11" t="str">
        <f>VLOOKUP(Ecotox_Table[[#This Row],[Marker name]],BaseInfos_Table[],3,FALSE)</f>
        <v>n.a.</v>
      </c>
    </row>
    <row r="42" spans="1:2" ht="16.5" x14ac:dyDescent="0.3">
      <c r="A42" s="16" t="s">
        <v>702</v>
      </c>
      <c r="B42" s="11" t="str">
        <f>VLOOKUP(Ecotox_Table[[#This Row],[Marker name]],BaseInfos_Table[],3,FALSE)</f>
        <v>n.a.</v>
      </c>
    </row>
    <row r="43" spans="1:2" x14ac:dyDescent="0.3">
      <c r="A43" s="16" t="s">
        <v>703</v>
      </c>
      <c r="B43" s="11" t="str">
        <f>VLOOKUP(Ecotox_Table[[#This Row],[Marker name]],BaseInfos_Table[],3,FALSE)</f>
        <v>12024-21-4</v>
      </c>
    </row>
    <row r="44" spans="1:2" ht="16.5" x14ac:dyDescent="0.3">
      <c r="A44" s="16" t="s">
        <v>704</v>
      </c>
      <c r="B44" s="11" t="str">
        <f>VLOOKUP(Ecotox_Table[[#This Row],[Marker name]],BaseInfos_Table[],3,FALSE)</f>
        <v>n.a.</v>
      </c>
    </row>
    <row r="45" spans="1:2" ht="16.5" x14ac:dyDescent="0.3">
      <c r="A45" s="16" t="s">
        <v>705</v>
      </c>
      <c r="B45" s="11" t="str">
        <f>VLOOKUP(Ecotox_Table[[#This Row],[Marker name]],BaseInfos_Table[],3,FALSE)</f>
        <v>n.a.</v>
      </c>
    </row>
    <row r="46" spans="1:2" x14ac:dyDescent="0.3">
      <c r="A46" s="10" t="s">
        <v>706</v>
      </c>
      <c r="B46" s="11" t="str">
        <f>VLOOKUP(Ecotox_Table[[#This Row],[Marker name]],BaseInfos_Table[],3,FALSE)</f>
        <v>12036-44-1</v>
      </c>
    </row>
    <row r="47" spans="1:2" x14ac:dyDescent="0.3">
      <c r="A47" s="10" t="s">
        <v>707</v>
      </c>
      <c r="B47" s="11" t="str">
        <f>VLOOKUP(Ecotox_Table[[#This Row],[Marker name]],BaseInfos_Table[],3,FALSE)</f>
        <v>12037-01-3</v>
      </c>
    </row>
    <row r="48" spans="1:2" x14ac:dyDescent="0.3">
      <c r="A48" s="10" t="s">
        <v>708</v>
      </c>
      <c r="B48" s="11" t="str">
        <f>VLOOKUP(Ecotox_Table[[#This Row],[Marker name]],BaseInfos_Table[],3,FALSE)</f>
        <v>12036-41-8</v>
      </c>
    </row>
    <row r="49" spans="1:2" x14ac:dyDescent="0.3">
      <c r="A49" s="10" t="s">
        <v>434</v>
      </c>
      <c r="B49" s="11" t="str">
        <f>VLOOKUP(Ecotox_Table[[#This Row],[Marker name]],BaseInfos_Table[],3,FALSE)</f>
        <v>578-95-0</v>
      </c>
    </row>
    <row r="50" spans="1:2" x14ac:dyDescent="0.3">
      <c r="A50" s="10" t="s">
        <v>439</v>
      </c>
      <c r="B50" s="11" t="str">
        <f>VLOOKUP(Ecotox_Table[[#This Row],[Marker name]],BaseInfos_Table[],3,FALSE)</f>
        <v>38609-97-1</v>
      </c>
    </row>
    <row r="51" spans="1:2" x14ac:dyDescent="0.3">
      <c r="A51" s="10" t="s">
        <v>437</v>
      </c>
      <c r="B51" s="11" t="str">
        <f>VLOOKUP(Ecotox_Table[[#This Row],[Marker name]],BaseInfos_Table[],3,FALSE)</f>
        <v>n.a.</v>
      </c>
    </row>
    <row r="52" spans="1:2" x14ac:dyDescent="0.3">
      <c r="A52" s="10" t="s">
        <v>438</v>
      </c>
      <c r="B52" s="11" t="str">
        <f>VLOOKUP(Ecotox_Table[[#This Row],[Marker name]],BaseInfos_Table[],3,FALSE)</f>
        <v>n.a.</v>
      </c>
    </row>
    <row r="53" spans="1:2" x14ac:dyDescent="0.3">
      <c r="A53" s="10" t="s">
        <v>442</v>
      </c>
      <c r="B53" s="11" t="str">
        <f>VLOOKUP(Ecotox_Table[[#This Row],[Marker name]],BaseInfos_Table[],3,FALSE)</f>
        <v>n.a.</v>
      </c>
    </row>
    <row r="54" spans="1:2" x14ac:dyDescent="0.3">
      <c r="A54" s="10" t="s">
        <v>443</v>
      </c>
      <c r="B54" s="11" t="str">
        <f>VLOOKUP(Ecotox_Table[[#This Row],[Marker name]],BaseInfos_Table[],3,FALSE)</f>
        <v>n.a.</v>
      </c>
    </row>
    <row r="55" spans="1:2" x14ac:dyDescent="0.3">
      <c r="A55" s="10" t="s">
        <v>444</v>
      </c>
      <c r="B55" s="11" t="str">
        <f>VLOOKUP(Ecotox_Table[[#This Row],[Marker name]],BaseInfos_Table[],3,FALSE)</f>
        <v>n.a.</v>
      </c>
    </row>
    <row r="56" spans="1:2" x14ac:dyDescent="0.3">
      <c r="A56" s="10" t="s">
        <v>445</v>
      </c>
      <c r="B56" s="11" t="str">
        <f>VLOOKUP(Ecotox_Table[[#This Row],[Marker name]],BaseInfos_Table[],3,FALSE)</f>
        <v>24782-64-7</v>
      </c>
    </row>
    <row r="57" spans="1:2" x14ac:dyDescent="0.3">
      <c r="A57" s="10" t="s">
        <v>446</v>
      </c>
      <c r="B57" s="11" t="str">
        <f>VLOOKUP(Ecotox_Table[[#This Row],[Marker name]],BaseInfos_Table[],3,FALSE)</f>
        <v>n.a.</v>
      </c>
    </row>
    <row r="58" spans="1:2" x14ac:dyDescent="0.3">
      <c r="A58" s="10" t="s">
        <v>447</v>
      </c>
      <c r="B58" s="11" t="str">
        <f>VLOOKUP(Ecotox_Table[[#This Row],[Marker name]],BaseInfos_Table[],3,FALSE)</f>
        <v>n.a.</v>
      </c>
    </row>
    <row r="59" spans="1:2" x14ac:dyDescent="0.3">
      <c r="A59" s="10" t="s">
        <v>448</v>
      </c>
      <c r="B59" s="11" t="str">
        <f>VLOOKUP(Ecotox_Table[[#This Row],[Marker name]],BaseInfos_Table[],3,FALSE)</f>
        <v>n.a.</v>
      </c>
    </row>
    <row r="60" spans="1:2" x14ac:dyDescent="0.3">
      <c r="A60" s="10" t="s">
        <v>449</v>
      </c>
      <c r="B60" s="11" t="str">
        <f>VLOOKUP(Ecotox_Table[[#This Row],[Marker name]],BaseInfos_Table[],3,FALSE)</f>
        <v>n.a.</v>
      </c>
    </row>
    <row r="61" spans="1:2" x14ac:dyDescent="0.3">
      <c r="A61" s="10" t="s">
        <v>450</v>
      </c>
      <c r="B61" s="11" t="str">
        <f>VLOOKUP(Ecotox_Table[[#This Row],[Marker name]],BaseInfos_Table[],3,FALSE)</f>
        <v>n.a.</v>
      </c>
    </row>
    <row r="62" spans="1:2" x14ac:dyDescent="0.3">
      <c r="A62" s="10" t="s">
        <v>451</v>
      </c>
      <c r="B62" s="11" t="str">
        <f>VLOOKUP(Ecotox_Table[[#This Row],[Marker name]],BaseInfos_Table[],3,FALSE)</f>
        <v>n.a.</v>
      </c>
    </row>
    <row r="63" spans="1:2" x14ac:dyDescent="0.3">
      <c r="A63" s="10" t="s">
        <v>452</v>
      </c>
      <c r="B63" s="11" t="str">
        <f>VLOOKUP(Ecotox_Table[[#This Row],[Marker name]],BaseInfos_Table[],3,FALSE)</f>
        <v>n.a.</v>
      </c>
    </row>
    <row r="64" spans="1:2" x14ac:dyDescent="0.3">
      <c r="A64" s="10" t="s">
        <v>453</v>
      </c>
      <c r="B64" s="11" t="str">
        <f>VLOOKUP(Ecotox_Table[[#This Row],[Marker name]],BaseInfos_Table[],3,FALSE)</f>
        <v>n.a.</v>
      </c>
    </row>
    <row r="65" spans="1:2" x14ac:dyDescent="0.3">
      <c r="A65" s="10" t="s">
        <v>454</v>
      </c>
      <c r="B65" s="11" t="str">
        <f>VLOOKUP(Ecotox_Table[[#This Row],[Marker name]],BaseInfos_Table[],3,FALSE)</f>
        <v>n.a.</v>
      </c>
    </row>
    <row r="66" spans="1:2" x14ac:dyDescent="0.3">
      <c r="A66" s="10" t="s">
        <v>455</v>
      </c>
      <c r="B66" s="11" t="str">
        <f>VLOOKUP(Ecotox_Table[[#This Row],[Marker name]],BaseInfos_Table[],3,FALSE)</f>
        <v>134272-64-3</v>
      </c>
    </row>
    <row r="67" spans="1:2" x14ac:dyDescent="0.3">
      <c r="A67" s="10" t="s">
        <v>465</v>
      </c>
      <c r="B67" s="11" t="str">
        <f>VLOOKUP(Ecotox_Table[[#This Row],[Marker name]],BaseInfos_Table[],3,FALSE)</f>
        <v>n.a.</v>
      </c>
    </row>
    <row r="68" spans="1:2" x14ac:dyDescent="0.3">
      <c r="A68" s="10" t="s">
        <v>466</v>
      </c>
      <c r="B68" s="11" t="str">
        <f>VLOOKUP(Ecotox_Table[[#This Row],[Marker name]],BaseInfos_Table[],3,FALSE)</f>
        <v>n.a.</v>
      </c>
    </row>
    <row r="69" spans="1:2" x14ac:dyDescent="0.3">
      <c r="A69" s="10" t="s">
        <v>467</v>
      </c>
      <c r="B69" s="11" t="str">
        <f>VLOOKUP(Ecotox_Table[[#This Row],[Marker name]],BaseInfos_Table[],3,FALSE)</f>
        <v>n.a.</v>
      </c>
    </row>
    <row r="70" spans="1:2" x14ac:dyDescent="0.3">
      <c r="A70" s="10" t="s">
        <v>468</v>
      </c>
      <c r="B70" s="11" t="str">
        <f>VLOOKUP(Ecotox_Table[[#This Row],[Marker name]],BaseInfos_Table[],3,FALSE)</f>
        <v>n.a.</v>
      </c>
    </row>
    <row r="71" spans="1:2" x14ac:dyDescent="0.3">
      <c r="A71" s="10" t="s">
        <v>709</v>
      </c>
      <c r="B71" s="11" t="str">
        <f>VLOOKUP(Ecotox_Table[[#This Row],[Marker name]],BaseInfos_Table[],3,FALSE)</f>
        <v>12027-88-2</v>
      </c>
    </row>
    <row r="72" spans="1:2" ht="16.5" x14ac:dyDescent="0.3">
      <c r="A72" s="10" t="s">
        <v>710</v>
      </c>
      <c r="B72" s="11" t="str">
        <f>VLOOKUP(Ecotox_Table[[#This Row],[Marker name]],BaseInfos_Table[],3,FALSE)</f>
        <v>n.a.</v>
      </c>
    </row>
    <row r="73" spans="1:2" ht="16.5" x14ac:dyDescent="0.3">
      <c r="A73" s="10" t="s">
        <v>711</v>
      </c>
      <c r="B73" s="11" t="str">
        <f>VLOOKUP(Ecotox_Table[[#This Row],[Marker name]],BaseInfos_Table[],3,FALSE)</f>
        <v>n.a.</v>
      </c>
    </row>
    <row r="74" spans="1:2" x14ac:dyDescent="0.3">
      <c r="A74" s="10" t="s">
        <v>712</v>
      </c>
      <c r="B74" s="11" t="str">
        <f>VLOOKUP(Ecotox_Table[[#This Row],[Marker name]],BaseInfos_Table[],3,FALSE)</f>
        <v>12005-21-9</v>
      </c>
    </row>
    <row r="75" spans="1:2" x14ac:dyDescent="0.3">
      <c r="A75" s="10" t="s">
        <v>525</v>
      </c>
      <c r="B75" s="11" t="str">
        <f>VLOOKUP(Ecotox_Table[[#This Row],[Marker name]],BaseInfos_Table[],3,FALSE)</f>
        <v>n.a.</v>
      </c>
    </row>
    <row r="76" spans="1:2" x14ac:dyDescent="0.3">
      <c r="A76" s="10" t="s">
        <v>578</v>
      </c>
      <c r="B76" s="11" t="str">
        <f>VLOOKUP(Ecotox_Table[[#This Row],[Marker name]],BaseInfos_Table[],3,FALSE)</f>
        <v>1345-25-1</v>
      </c>
    </row>
    <row r="77" spans="1:2" x14ac:dyDescent="0.3">
      <c r="A77" s="10" t="s">
        <v>573</v>
      </c>
      <c r="B77" s="11" t="str">
        <f>VLOOKUP(Ecotox_Table[[#This Row],[Marker name]],BaseInfos_Table[],3,FALSE)</f>
        <v>1314-13-2</v>
      </c>
    </row>
    <row r="78" spans="1:2" x14ac:dyDescent="0.3">
      <c r="A78" s="10" t="s">
        <v>713</v>
      </c>
      <c r="B78" s="11" t="str">
        <f>VLOOKUP(Ecotox_Table[[#This Row],[Marker name]],BaseInfos_Table[],3,FALSE)</f>
        <v>12063-19-3</v>
      </c>
    </row>
    <row r="79" spans="1:2" x14ac:dyDescent="0.3">
      <c r="A79" s="10" t="s">
        <v>714</v>
      </c>
      <c r="B79" s="11" t="str">
        <f>VLOOKUP(Ecotox_Table[[#This Row],[Marker name]],BaseInfos_Table[],3,FALSE)</f>
        <v>1309-37-1</v>
      </c>
    </row>
    <row r="80" spans="1:2" x14ac:dyDescent="0.3">
      <c r="A80" s="10" t="s">
        <v>715</v>
      </c>
      <c r="B80" s="11" t="str">
        <f>VLOOKUP(Ecotox_Table[[#This Row],[Marker name]],BaseInfos_Table[],3,FALSE)</f>
        <v>1317-61-9</v>
      </c>
    </row>
    <row r="81" spans="1:2" x14ac:dyDescent="0.3">
      <c r="A81" s="10" t="s">
        <v>601</v>
      </c>
      <c r="B81" s="11" t="str">
        <f>VLOOKUP(Ecotox_Table[[#This Row],[Marker name]],BaseInfos_Table[],3,FALSE)</f>
        <v>n.a.</v>
      </c>
    </row>
    <row r="82" spans="1:2" x14ac:dyDescent="0.3">
      <c r="A82" s="10" t="s">
        <v>602</v>
      </c>
      <c r="B82" s="11" t="str">
        <f>VLOOKUP(Ecotox_Table[[#This Row],[Marker name]],BaseInfos_Table[],3,FALSE)</f>
        <v>7440-44-0</v>
      </c>
    </row>
    <row r="83" spans="1:2" x14ac:dyDescent="0.3">
      <c r="B83" s="11" t="e">
        <f>VLOOKUP(Ecotox_Table[[#This Row],[Marker name]],BaseInfos_Table[],3,FALSE)</f>
        <v>#N/A</v>
      </c>
    </row>
    <row r="84" spans="1:2" x14ac:dyDescent="0.3">
      <c r="B84" s="11" t="e">
        <f>VLOOKUP(Ecotox_Table[[#This Row],[Marker name]],BaseInfos_Table[],3,FALSE)</f>
        <v>#N/A</v>
      </c>
    </row>
    <row r="85" spans="1:2" x14ac:dyDescent="0.3">
      <c r="B85" s="11" t="e">
        <f>VLOOKUP(Ecotox_Table[[#This Row],[Marker name]],BaseInfos_Table[],3,FALSE)</f>
        <v>#N/A</v>
      </c>
    </row>
    <row r="86" spans="1:2" x14ac:dyDescent="0.3">
      <c r="B86" s="11" t="e">
        <f>VLOOKUP(Ecotox_Table[[#This Row],[Marker name]],BaseInfos_Table[],3,FALSE)</f>
        <v>#N/A</v>
      </c>
    </row>
    <row r="87" spans="1:2" x14ac:dyDescent="0.3">
      <c r="B87" s="11" t="e">
        <f>VLOOKUP(Ecotox_Table[[#This Row],[Marker name]],BaseInfos_Table[],3,FALSE)</f>
        <v>#N/A</v>
      </c>
    </row>
    <row r="88" spans="1:2" x14ac:dyDescent="0.3">
      <c r="B88" s="11" t="e">
        <f>VLOOKUP(Ecotox_Table[[#This Row],[Marker name]],BaseInfos_Table[],3,FALSE)</f>
        <v>#N/A</v>
      </c>
    </row>
    <row r="89" spans="1:2" x14ac:dyDescent="0.3">
      <c r="B89" s="11" t="e">
        <f>VLOOKUP(Ecotox_Table[[#This Row],[Marker name]],BaseInfos_Table[],3,FALSE)</f>
        <v>#N/A</v>
      </c>
    </row>
    <row r="90" spans="1:2" x14ac:dyDescent="0.3">
      <c r="B90" s="11" t="e">
        <f>VLOOKUP(Ecotox_Table[[#This Row],[Marker name]],BaseInfos_Table[],3,FALSE)</f>
        <v>#N/A</v>
      </c>
    </row>
    <row r="91" spans="1:2" x14ac:dyDescent="0.3">
      <c r="B91" s="11" t="e">
        <f>VLOOKUP(Ecotox_Table[[#This Row],[Marker name]],BaseInfos_Table[],3,FALSE)</f>
        <v>#N/A</v>
      </c>
    </row>
    <row r="92" spans="1:2" x14ac:dyDescent="0.3">
      <c r="B92" s="11" t="e">
        <f>VLOOKUP(Ecotox_Table[[#This Row],[Marker name]],BaseInfos_Table[],3,FALSE)</f>
        <v>#N/A</v>
      </c>
    </row>
    <row r="93" spans="1:2" x14ac:dyDescent="0.3">
      <c r="B93" s="11" t="e">
        <f>VLOOKUP(Ecotox_Table[[#This Row],[Marker name]],BaseInfos_Table[],3,FALSE)</f>
        <v>#N/A</v>
      </c>
    </row>
    <row r="94" spans="1:2" x14ac:dyDescent="0.3">
      <c r="B94" s="11" t="e">
        <f>VLOOKUP(Ecotox_Table[[#This Row],[Marker name]],BaseInfos_Table[],3,FALSE)</f>
        <v>#N/A</v>
      </c>
    </row>
    <row r="95" spans="1:2" x14ac:dyDescent="0.3">
      <c r="B95" s="11" t="e">
        <f>VLOOKUP(Ecotox_Table[[#This Row],[Marker name]],BaseInfos_Table[],3,FALSE)</f>
        <v>#N/A</v>
      </c>
    </row>
    <row r="96" spans="1:2" x14ac:dyDescent="0.3">
      <c r="B96" s="11" t="e">
        <f>VLOOKUP(Ecotox_Table[[#This Row],[Marker name]],BaseInfos_Table[],3,FALSE)</f>
        <v>#N/A</v>
      </c>
    </row>
    <row r="97" spans="2:2" x14ac:dyDescent="0.3">
      <c r="B97" s="11" t="e">
        <f>VLOOKUP(Ecotox_Table[[#This Row],[Marker name]],BaseInfos_Table[],3,FALSE)</f>
        <v>#N/A</v>
      </c>
    </row>
  </sheetData>
  <mergeCells count="1">
    <mergeCell ref="A1:AI1"/>
  </mergeCells>
  <pageMargins left="0.7" right="0.7" top="0.75" bottom="0.75"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Cover page</vt:lpstr>
      <vt:lpstr>Comments</vt:lpstr>
      <vt:lpstr>Decission Tree</vt:lpstr>
      <vt:lpstr>MasterSheet</vt:lpstr>
      <vt:lpstr>References</vt:lpstr>
      <vt:lpstr>Hazard statements (GHS)</vt:lpstr>
      <vt:lpstr>Phys Chem</vt:lpstr>
      <vt:lpstr>Fluorescence</vt:lpstr>
      <vt:lpstr>Ecotoxicology</vt:lpstr>
      <vt:lpstr>Human Toxicology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ChrisO</dc:creator>
  <cp:lastModifiedBy>Aleksander</cp:lastModifiedBy>
  <dcterms:created xsi:type="dcterms:W3CDTF">2021-11-04T08:27:01Z</dcterms:created>
  <dcterms:modified xsi:type="dcterms:W3CDTF">2022-07-28T16:27:22Z</dcterms:modified>
</cp:coreProperties>
</file>